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workbookProtection workbookPassword="DDF1" lockStructure="1"/>
  <bookViews>
    <workbookView xWindow="0" yWindow="0" windowWidth="25600" windowHeight="16060" tabRatio="739"/>
  </bookViews>
  <sheets>
    <sheet name="data" sheetId="1" r:id="rId1"/>
    <sheet name="data 2" sheetId="2" state="hidden" r:id="rId2"/>
    <sheet name="flange" sheetId="3" state="hidden" r:id="rId3"/>
    <sheet name="stiffner" sheetId="4" state="hidden" r:id="rId4"/>
    <sheet name="flangebis" sheetId="5" state="hidden" r:id="rId5"/>
    <sheet name="stiffnerbis" sheetId="6" state="hidden" r:id="rId6"/>
    <sheet name="web" sheetId="7" state="hidden" r:id="rId7"/>
    <sheet name="moment" sheetId="8" state="hidden" r:id="rId8"/>
    <sheet name="flange (2)" sheetId="9" state="hidden" r:id="rId9"/>
    <sheet name="stiffner (2)" sheetId="10" state="hidden" r:id="rId10"/>
    <sheet name="flangebis (2)" sheetId="11" state="hidden" r:id="rId11"/>
    <sheet name="stiffnerbis (2)" sheetId="12" state="hidden" r:id="rId12"/>
    <sheet name="web (2)" sheetId="13" state="hidden" r:id="rId13"/>
    <sheet name="moment (2)" sheetId="14" state="hidden" r:id="rId14"/>
    <sheet name="flange (3)" sheetId="15" state="hidden" r:id="rId15"/>
    <sheet name="stiffner (3)" sheetId="16" state="hidden" r:id="rId16"/>
    <sheet name="flangebis (3)" sheetId="17" state="hidden" r:id="rId17"/>
    <sheet name="stiffnerbis (3)" sheetId="18" state="hidden" r:id="rId18"/>
    <sheet name="web (3)" sheetId="19" state="hidden" r:id="rId19"/>
    <sheet name="moment (3)" sheetId="20" state="hidden" r:id="rId20"/>
    <sheet name="flange (4)" sheetId="22" state="hidden" r:id="rId21"/>
    <sheet name="stiffner (4)" sheetId="23" state="hidden" r:id="rId22"/>
    <sheet name="flangebis (4)" sheetId="24" state="hidden" r:id="rId23"/>
    <sheet name="stiffnerbis (4)" sheetId="25" state="hidden" r:id="rId24"/>
    <sheet name="web (4)" sheetId="26" state="hidden" r:id="rId25"/>
    <sheet name="moment (4)" sheetId="27" state="hidden" r:id="rId26"/>
    <sheet name="Feuil1" sheetId="21" state="hidden" r:id="rId27"/>
    <sheet name="Feuil2" sheetId="28" state="hidden" r:id="rId28"/>
  </sheets>
  <definedNames>
    <definedName name="_xlnm._FilterDatabase" localSheetId="26" hidden="1">Feuil1!$A$11:$K$14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" l="1"/>
  <c r="E3" i="2"/>
  <c r="B3" i="2"/>
  <c r="C17" i="2"/>
  <c r="C28" i="2"/>
  <c r="C11" i="7"/>
  <c r="C9" i="27"/>
  <c r="C38" i="27"/>
  <c r="D3" i="2"/>
  <c r="H3" i="2"/>
  <c r="I16" i="2"/>
  <c r="F3" i="2"/>
  <c r="C3" i="2"/>
  <c r="F16" i="2"/>
  <c r="C9" i="2"/>
  <c r="I17" i="2"/>
  <c r="F17" i="2"/>
  <c r="C34" i="2"/>
  <c r="I3" i="2"/>
  <c r="I34" i="2"/>
  <c r="K3" i="2"/>
  <c r="J34" i="2"/>
  <c r="K34" i="2"/>
  <c r="I24" i="2"/>
  <c r="C35" i="2"/>
  <c r="I35" i="2"/>
  <c r="D11" i="2"/>
  <c r="J35" i="2"/>
  <c r="K35" i="2"/>
  <c r="C10" i="2"/>
  <c r="C36" i="2"/>
  <c r="I36" i="2"/>
  <c r="J36" i="2"/>
  <c r="K36" i="2"/>
  <c r="C37" i="2"/>
  <c r="I37" i="2"/>
  <c r="J37" i="2"/>
  <c r="K37" i="2"/>
  <c r="G3" i="2"/>
  <c r="F19" i="2"/>
  <c r="C11" i="2"/>
  <c r="F20" i="2"/>
  <c r="C38" i="2"/>
  <c r="I38" i="2"/>
  <c r="J38" i="2"/>
  <c r="K38" i="2"/>
  <c r="I4" i="2"/>
  <c r="I28" i="2"/>
  <c r="J28" i="2"/>
  <c r="K28" i="2"/>
  <c r="C24" i="2"/>
  <c r="C29" i="2"/>
  <c r="I29" i="2"/>
  <c r="C25" i="2"/>
  <c r="J29" i="2"/>
  <c r="K29" i="2"/>
  <c r="C16" i="2"/>
  <c r="C7" i="2"/>
  <c r="C30" i="2"/>
  <c r="I30" i="2"/>
  <c r="J30" i="2"/>
  <c r="K30" i="2"/>
  <c r="C31" i="2"/>
  <c r="I31" i="2"/>
  <c r="J31" i="2"/>
  <c r="K31" i="2"/>
  <c r="C8" i="2"/>
  <c r="C32" i="2"/>
  <c r="I32" i="2"/>
  <c r="J32" i="2"/>
  <c r="K32" i="2"/>
  <c r="F24" i="2"/>
  <c r="C33" i="2"/>
  <c r="I33" i="2"/>
  <c r="F25" i="2"/>
  <c r="J33" i="2"/>
  <c r="K33" i="2"/>
  <c r="F21" i="2"/>
  <c r="C39" i="2"/>
  <c r="I39" i="2"/>
  <c r="F22" i="2"/>
  <c r="J39" i="2"/>
  <c r="K39" i="2"/>
  <c r="C12" i="2"/>
  <c r="C40" i="2"/>
  <c r="I40" i="2"/>
  <c r="K40" i="2"/>
  <c r="K43" i="2"/>
  <c r="I43" i="2"/>
  <c r="L43" i="2"/>
  <c r="L3" i="2"/>
  <c r="D5" i="3"/>
  <c r="J5" i="3"/>
  <c r="B5" i="3"/>
  <c r="C5" i="3"/>
  <c r="H5" i="3"/>
  <c r="I5" i="3"/>
  <c r="L5" i="3"/>
  <c r="M5" i="3"/>
  <c r="N5" i="3"/>
  <c r="O5" i="3"/>
  <c r="C18" i="4"/>
  <c r="D3" i="4"/>
  <c r="D18" i="4"/>
  <c r="C26" i="4"/>
  <c r="D26" i="4"/>
  <c r="C7" i="4"/>
  <c r="C19" i="4"/>
  <c r="D19" i="4"/>
  <c r="C8" i="4"/>
  <c r="C20" i="4"/>
  <c r="D20" i="4"/>
  <c r="C9" i="4"/>
  <c r="C21" i="4"/>
  <c r="D21" i="4"/>
  <c r="C10" i="4"/>
  <c r="C22" i="4"/>
  <c r="D22" i="4"/>
  <c r="C11" i="4"/>
  <c r="C23" i="4"/>
  <c r="D23" i="4"/>
  <c r="C12" i="4"/>
  <c r="C24" i="4"/>
  <c r="D24" i="4"/>
  <c r="C13" i="4"/>
  <c r="C25" i="4"/>
  <c r="D25" i="4"/>
  <c r="D27" i="4"/>
  <c r="C6" i="4"/>
  <c r="D6" i="4"/>
  <c r="H6" i="4"/>
  <c r="F6" i="4"/>
  <c r="D7" i="4"/>
  <c r="E7" i="4"/>
  <c r="F7" i="4"/>
  <c r="D8" i="4"/>
  <c r="E8" i="4"/>
  <c r="F8" i="4"/>
  <c r="D9" i="4"/>
  <c r="E9" i="4"/>
  <c r="F9" i="4"/>
  <c r="D10" i="4"/>
  <c r="E10" i="4"/>
  <c r="F10" i="4"/>
  <c r="D11" i="4"/>
  <c r="E11" i="4"/>
  <c r="F11" i="4"/>
  <c r="D12" i="4"/>
  <c r="E12" i="4"/>
  <c r="F12" i="4"/>
  <c r="D13" i="4"/>
  <c r="E13" i="4"/>
  <c r="F13" i="4"/>
  <c r="C14" i="4"/>
  <c r="D14" i="4"/>
  <c r="F14" i="4"/>
  <c r="F15" i="4"/>
  <c r="D15" i="4"/>
  <c r="G15" i="4"/>
  <c r="G6" i="4"/>
  <c r="I6" i="4"/>
  <c r="G7" i="4"/>
  <c r="I7" i="4"/>
  <c r="M30" i="2"/>
  <c r="H8" i="4"/>
  <c r="G8" i="4"/>
  <c r="I8" i="4"/>
  <c r="G9" i="4"/>
  <c r="I9" i="4"/>
  <c r="H10" i="4"/>
  <c r="G10" i="4"/>
  <c r="I10" i="4"/>
  <c r="I11" i="4"/>
  <c r="H12" i="4"/>
  <c r="G12" i="4"/>
  <c r="I12" i="4"/>
  <c r="G13" i="4"/>
  <c r="I13" i="4"/>
  <c r="H14" i="4"/>
  <c r="G14" i="4"/>
  <c r="I14" i="4"/>
  <c r="I15" i="4"/>
  <c r="C3" i="4"/>
  <c r="B3" i="4"/>
  <c r="F31" i="4"/>
  <c r="N3" i="2"/>
  <c r="E31" i="4"/>
  <c r="G31" i="4"/>
  <c r="B31" i="4"/>
  <c r="H31" i="4"/>
  <c r="I31" i="4"/>
  <c r="M3" i="2"/>
  <c r="E3" i="4"/>
  <c r="B34" i="4"/>
  <c r="B37" i="4"/>
  <c r="C37" i="4"/>
  <c r="E37" i="4"/>
  <c r="B40" i="4"/>
  <c r="C40" i="4"/>
  <c r="D9" i="8"/>
  <c r="C9" i="8"/>
  <c r="E9" i="8"/>
  <c r="F9" i="8"/>
  <c r="G9" i="8"/>
  <c r="D10" i="8"/>
  <c r="C12" i="7"/>
  <c r="C10" i="8"/>
  <c r="E10" i="8"/>
  <c r="F10" i="8"/>
  <c r="G10" i="8"/>
  <c r="D11" i="8"/>
  <c r="C13" i="7"/>
  <c r="C11" i="8"/>
  <c r="E11" i="8"/>
  <c r="F11" i="8"/>
  <c r="G11" i="8"/>
  <c r="D12" i="8"/>
  <c r="C14" i="7"/>
  <c r="C12" i="8"/>
  <c r="E12" i="8"/>
  <c r="F12" i="8"/>
  <c r="G12" i="8"/>
  <c r="D5" i="5"/>
  <c r="J5" i="5"/>
  <c r="B5" i="5"/>
  <c r="C5" i="5"/>
  <c r="H5" i="5"/>
  <c r="I5" i="5"/>
  <c r="L5" i="5"/>
  <c r="M5" i="5"/>
  <c r="N5" i="5"/>
  <c r="O5" i="5"/>
  <c r="C15" i="7"/>
  <c r="C13" i="8"/>
  <c r="D13" i="8"/>
  <c r="E13" i="8"/>
  <c r="F13" i="8"/>
  <c r="G13" i="8"/>
  <c r="C16" i="7"/>
  <c r="C14" i="8"/>
  <c r="A3" i="8"/>
  <c r="D14" i="8"/>
  <c r="E14" i="8"/>
  <c r="F14" i="8"/>
  <c r="G14" i="8"/>
  <c r="C18" i="7"/>
  <c r="C16" i="8"/>
  <c r="B3" i="7"/>
  <c r="B3" i="8"/>
  <c r="D16" i="8"/>
  <c r="E16" i="8"/>
  <c r="F16" i="8"/>
  <c r="G16" i="8"/>
  <c r="G3" i="7"/>
  <c r="H3" i="7"/>
  <c r="D3" i="7"/>
  <c r="F3" i="7"/>
  <c r="C3" i="7"/>
  <c r="B6" i="7"/>
  <c r="C6" i="7"/>
  <c r="D6" i="7"/>
  <c r="C19" i="7"/>
  <c r="C17" i="8"/>
  <c r="D17" i="8"/>
  <c r="E17" i="8"/>
  <c r="F17" i="8"/>
  <c r="G17" i="8"/>
  <c r="C20" i="7"/>
  <c r="C18" i="8"/>
  <c r="D18" i="8"/>
  <c r="E18" i="8"/>
  <c r="F18" i="8"/>
  <c r="G18" i="8"/>
  <c r="C21" i="7"/>
  <c r="C19" i="8"/>
  <c r="D19" i="8"/>
  <c r="E19" i="8"/>
  <c r="F19" i="8"/>
  <c r="G19" i="8"/>
  <c r="C22" i="7"/>
  <c r="C20" i="8"/>
  <c r="D20" i="8"/>
  <c r="E20" i="8"/>
  <c r="F20" i="8"/>
  <c r="G20" i="8"/>
  <c r="C23" i="7"/>
  <c r="C21" i="8"/>
  <c r="D21" i="8"/>
  <c r="E21" i="8"/>
  <c r="F21" i="8"/>
  <c r="G21" i="8"/>
  <c r="C17" i="7"/>
  <c r="C15" i="8"/>
  <c r="D15" i="8"/>
  <c r="E15" i="8"/>
  <c r="F15" i="8"/>
  <c r="G15" i="8"/>
  <c r="C24" i="7"/>
  <c r="C22" i="8"/>
  <c r="D22" i="8"/>
  <c r="E22" i="8"/>
  <c r="F22" i="8"/>
  <c r="G22" i="8"/>
  <c r="C25" i="7"/>
  <c r="C23" i="8"/>
  <c r="D23" i="8"/>
  <c r="E23" i="8"/>
  <c r="G23" i="8"/>
  <c r="G27" i="8"/>
  <c r="E27" i="8"/>
  <c r="H27" i="8"/>
  <c r="D5" i="9"/>
  <c r="J5" i="9"/>
  <c r="B5" i="9"/>
  <c r="C5" i="9"/>
  <c r="H5" i="9"/>
  <c r="I5" i="9"/>
  <c r="L5" i="9"/>
  <c r="M5" i="9"/>
  <c r="N5" i="9"/>
  <c r="O5" i="9"/>
  <c r="C18" i="10"/>
  <c r="D3" i="10"/>
  <c r="D18" i="10"/>
  <c r="C26" i="10"/>
  <c r="D26" i="10"/>
  <c r="C7" i="10"/>
  <c r="C19" i="10"/>
  <c r="D19" i="10"/>
  <c r="C8" i="10"/>
  <c r="C20" i="10"/>
  <c r="D20" i="10"/>
  <c r="C9" i="10"/>
  <c r="C21" i="10"/>
  <c r="D21" i="10"/>
  <c r="C10" i="10"/>
  <c r="C22" i="10"/>
  <c r="D22" i="10"/>
  <c r="C11" i="10"/>
  <c r="C23" i="10"/>
  <c r="D23" i="10"/>
  <c r="C12" i="10"/>
  <c r="C24" i="10"/>
  <c r="D24" i="10"/>
  <c r="C13" i="10"/>
  <c r="C25" i="10"/>
  <c r="D25" i="10"/>
  <c r="D27" i="10"/>
  <c r="C6" i="10"/>
  <c r="D6" i="10"/>
  <c r="H6" i="10"/>
  <c r="F6" i="10"/>
  <c r="D7" i="10"/>
  <c r="E7" i="10"/>
  <c r="F7" i="10"/>
  <c r="D8" i="10"/>
  <c r="E8" i="10"/>
  <c r="F8" i="10"/>
  <c r="D9" i="10"/>
  <c r="E9" i="10"/>
  <c r="F9" i="10"/>
  <c r="D10" i="10"/>
  <c r="E10" i="10"/>
  <c r="F10" i="10"/>
  <c r="D11" i="10"/>
  <c r="E11" i="10"/>
  <c r="F11" i="10"/>
  <c r="D12" i="10"/>
  <c r="E12" i="10"/>
  <c r="F12" i="10"/>
  <c r="D13" i="10"/>
  <c r="E13" i="10"/>
  <c r="F13" i="10"/>
  <c r="C14" i="10"/>
  <c r="D14" i="10"/>
  <c r="F14" i="10"/>
  <c r="F15" i="10"/>
  <c r="D15" i="10"/>
  <c r="G15" i="10"/>
  <c r="G6" i="10"/>
  <c r="I6" i="10"/>
  <c r="G7" i="10"/>
  <c r="I7" i="10"/>
  <c r="H8" i="10"/>
  <c r="G8" i="10"/>
  <c r="I8" i="10"/>
  <c r="G9" i="10"/>
  <c r="I9" i="10"/>
  <c r="H10" i="10"/>
  <c r="G10" i="10"/>
  <c r="I10" i="10"/>
  <c r="I11" i="10"/>
  <c r="H12" i="10"/>
  <c r="G12" i="10"/>
  <c r="I12" i="10"/>
  <c r="G13" i="10"/>
  <c r="I13" i="10"/>
  <c r="H14" i="10"/>
  <c r="G14" i="10"/>
  <c r="I14" i="10"/>
  <c r="I15" i="10"/>
  <c r="C3" i="10"/>
  <c r="B3" i="10"/>
  <c r="F31" i="10"/>
  <c r="E31" i="10"/>
  <c r="G31" i="10"/>
  <c r="B31" i="10"/>
  <c r="H31" i="10"/>
  <c r="I31" i="10"/>
  <c r="E3" i="10"/>
  <c r="B34" i="10"/>
  <c r="B37" i="10"/>
  <c r="C37" i="10"/>
  <c r="E37" i="10"/>
  <c r="B40" i="10"/>
  <c r="C40" i="10"/>
  <c r="D9" i="14"/>
  <c r="C9" i="14"/>
  <c r="E9" i="14"/>
  <c r="F9" i="14"/>
  <c r="G9" i="14"/>
  <c r="D10" i="14"/>
  <c r="C10" i="14"/>
  <c r="E10" i="14"/>
  <c r="F10" i="14"/>
  <c r="G10" i="14"/>
  <c r="D11" i="14"/>
  <c r="C11" i="14"/>
  <c r="E11" i="14"/>
  <c r="F11" i="14"/>
  <c r="G11" i="14"/>
  <c r="D12" i="14"/>
  <c r="C12" i="14"/>
  <c r="E12" i="14"/>
  <c r="F12" i="14"/>
  <c r="G12" i="14"/>
  <c r="C13" i="14"/>
  <c r="D13" i="14"/>
  <c r="E13" i="14"/>
  <c r="F13" i="14"/>
  <c r="G13" i="14"/>
  <c r="C14" i="14"/>
  <c r="A3" i="14"/>
  <c r="D14" i="14"/>
  <c r="E14" i="14"/>
  <c r="F14" i="14"/>
  <c r="G14" i="14"/>
  <c r="C16" i="14"/>
  <c r="B3" i="14"/>
  <c r="D16" i="14"/>
  <c r="E16" i="14"/>
  <c r="F16" i="14"/>
  <c r="G16" i="14"/>
  <c r="G3" i="13"/>
  <c r="H3" i="13"/>
  <c r="F3" i="13"/>
  <c r="B3" i="13"/>
  <c r="C3" i="13"/>
  <c r="B6" i="13"/>
  <c r="C6" i="13"/>
  <c r="D6" i="13"/>
  <c r="C19" i="13"/>
  <c r="C17" i="14"/>
  <c r="D17" i="14"/>
  <c r="E17" i="14"/>
  <c r="F17" i="14"/>
  <c r="G17" i="14"/>
  <c r="C18" i="14"/>
  <c r="D18" i="14"/>
  <c r="E18" i="14"/>
  <c r="F18" i="14"/>
  <c r="G18" i="14"/>
  <c r="C19" i="14"/>
  <c r="D19" i="14"/>
  <c r="E19" i="14"/>
  <c r="F19" i="14"/>
  <c r="G19" i="14"/>
  <c r="C20" i="14"/>
  <c r="D20" i="14"/>
  <c r="E20" i="14"/>
  <c r="F20" i="14"/>
  <c r="G20" i="14"/>
  <c r="C21" i="14"/>
  <c r="D21" i="14"/>
  <c r="E21" i="14"/>
  <c r="F21" i="14"/>
  <c r="G21" i="14"/>
  <c r="C15" i="14"/>
  <c r="D15" i="14"/>
  <c r="E15" i="14"/>
  <c r="F15" i="14"/>
  <c r="G15" i="14"/>
  <c r="C22" i="14"/>
  <c r="D22" i="14"/>
  <c r="E22" i="14"/>
  <c r="F22" i="14"/>
  <c r="G22" i="14"/>
  <c r="C23" i="14"/>
  <c r="D23" i="14"/>
  <c r="E23" i="14"/>
  <c r="G23" i="14"/>
  <c r="G27" i="14"/>
  <c r="E27" i="14"/>
  <c r="H27" i="14"/>
  <c r="D5" i="15"/>
  <c r="J5" i="15"/>
  <c r="B5" i="15"/>
  <c r="C5" i="15"/>
  <c r="H5" i="15"/>
  <c r="I5" i="15"/>
  <c r="L5" i="15"/>
  <c r="M5" i="15"/>
  <c r="N5" i="15"/>
  <c r="O5" i="15"/>
  <c r="C18" i="16"/>
  <c r="D3" i="16"/>
  <c r="D18" i="16"/>
  <c r="C26" i="16"/>
  <c r="D26" i="16"/>
  <c r="C7" i="16"/>
  <c r="C19" i="16"/>
  <c r="D19" i="16"/>
  <c r="C8" i="16"/>
  <c r="C20" i="16"/>
  <c r="D20" i="16"/>
  <c r="C9" i="16"/>
  <c r="C21" i="16"/>
  <c r="D21" i="16"/>
  <c r="C10" i="16"/>
  <c r="C22" i="16"/>
  <c r="D22" i="16"/>
  <c r="C11" i="16"/>
  <c r="C23" i="16"/>
  <c r="D23" i="16"/>
  <c r="C12" i="16"/>
  <c r="C24" i="16"/>
  <c r="D24" i="16"/>
  <c r="C13" i="16"/>
  <c r="C25" i="16"/>
  <c r="D25" i="16"/>
  <c r="D27" i="16"/>
  <c r="C6" i="16"/>
  <c r="D6" i="16"/>
  <c r="H6" i="16"/>
  <c r="F6" i="16"/>
  <c r="D7" i="16"/>
  <c r="E7" i="16"/>
  <c r="F7" i="16"/>
  <c r="D8" i="16"/>
  <c r="E8" i="16"/>
  <c r="F8" i="16"/>
  <c r="D9" i="16"/>
  <c r="E9" i="16"/>
  <c r="F9" i="16"/>
  <c r="D10" i="16"/>
  <c r="E10" i="16"/>
  <c r="F10" i="16"/>
  <c r="D11" i="16"/>
  <c r="E11" i="16"/>
  <c r="F11" i="16"/>
  <c r="D12" i="16"/>
  <c r="E12" i="16"/>
  <c r="F12" i="16"/>
  <c r="D13" i="16"/>
  <c r="E13" i="16"/>
  <c r="F13" i="16"/>
  <c r="C14" i="16"/>
  <c r="D14" i="16"/>
  <c r="F14" i="16"/>
  <c r="F15" i="16"/>
  <c r="D15" i="16"/>
  <c r="G15" i="16"/>
  <c r="G6" i="16"/>
  <c r="I6" i="16"/>
  <c r="G7" i="16"/>
  <c r="I7" i="16"/>
  <c r="H8" i="16"/>
  <c r="G8" i="16"/>
  <c r="I8" i="16"/>
  <c r="G9" i="16"/>
  <c r="I9" i="16"/>
  <c r="H10" i="16"/>
  <c r="G10" i="16"/>
  <c r="I10" i="16"/>
  <c r="I11" i="16"/>
  <c r="H12" i="16"/>
  <c r="G12" i="16"/>
  <c r="I12" i="16"/>
  <c r="G13" i="16"/>
  <c r="I13" i="16"/>
  <c r="H14" i="16"/>
  <c r="G14" i="16"/>
  <c r="I14" i="16"/>
  <c r="I15" i="16"/>
  <c r="C3" i="16"/>
  <c r="B3" i="16"/>
  <c r="F31" i="16"/>
  <c r="E31" i="16"/>
  <c r="G31" i="16"/>
  <c r="B31" i="16"/>
  <c r="H31" i="16"/>
  <c r="I31" i="16"/>
  <c r="E3" i="16"/>
  <c r="B34" i="16"/>
  <c r="B37" i="16"/>
  <c r="C37" i="16"/>
  <c r="E37" i="16"/>
  <c r="B40" i="16"/>
  <c r="C40" i="16"/>
  <c r="D9" i="20"/>
  <c r="C9" i="20"/>
  <c r="E9" i="20"/>
  <c r="F9" i="20"/>
  <c r="G9" i="20"/>
  <c r="D10" i="20"/>
  <c r="C10" i="20"/>
  <c r="E10" i="20"/>
  <c r="F10" i="20"/>
  <c r="G10" i="20"/>
  <c r="D11" i="20"/>
  <c r="C11" i="20"/>
  <c r="E11" i="20"/>
  <c r="F11" i="20"/>
  <c r="G11" i="20"/>
  <c r="D12" i="20"/>
  <c r="C12" i="20"/>
  <c r="E12" i="20"/>
  <c r="F12" i="20"/>
  <c r="G12" i="20"/>
  <c r="C13" i="20"/>
  <c r="D13" i="20"/>
  <c r="E13" i="20"/>
  <c r="F13" i="20"/>
  <c r="G13" i="20"/>
  <c r="C14" i="20"/>
  <c r="A3" i="20"/>
  <c r="D14" i="20"/>
  <c r="E14" i="20"/>
  <c r="F14" i="20"/>
  <c r="G14" i="20"/>
  <c r="C16" i="20"/>
  <c r="B3" i="20"/>
  <c r="D16" i="20"/>
  <c r="E16" i="20"/>
  <c r="F16" i="20"/>
  <c r="G16" i="20"/>
  <c r="G3" i="19"/>
  <c r="H3" i="19"/>
  <c r="F3" i="19"/>
  <c r="B3" i="19"/>
  <c r="C3" i="19"/>
  <c r="B6" i="19"/>
  <c r="C6" i="19"/>
  <c r="D6" i="19"/>
  <c r="C19" i="19"/>
  <c r="C17" i="20"/>
  <c r="D17" i="20"/>
  <c r="E17" i="20"/>
  <c r="F17" i="20"/>
  <c r="G17" i="20"/>
  <c r="C18" i="20"/>
  <c r="D18" i="20"/>
  <c r="E18" i="20"/>
  <c r="F18" i="20"/>
  <c r="G18" i="20"/>
  <c r="C19" i="20"/>
  <c r="D19" i="20"/>
  <c r="E19" i="20"/>
  <c r="F19" i="20"/>
  <c r="G19" i="20"/>
  <c r="C20" i="20"/>
  <c r="D20" i="20"/>
  <c r="E20" i="20"/>
  <c r="F20" i="20"/>
  <c r="G20" i="20"/>
  <c r="C21" i="20"/>
  <c r="D21" i="20"/>
  <c r="E21" i="20"/>
  <c r="F21" i="20"/>
  <c r="G21" i="20"/>
  <c r="C15" i="20"/>
  <c r="D15" i="20"/>
  <c r="E15" i="20"/>
  <c r="F15" i="20"/>
  <c r="G15" i="20"/>
  <c r="C22" i="20"/>
  <c r="D22" i="20"/>
  <c r="E22" i="20"/>
  <c r="F22" i="20"/>
  <c r="G22" i="20"/>
  <c r="C23" i="20"/>
  <c r="D23" i="20"/>
  <c r="E23" i="20"/>
  <c r="G23" i="20"/>
  <c r="G27" i="20"/>
  <c r="E27" i="20"/>
  <c r="H27" i="20"/>
  <c r="D5" i="22"/>
  <c r="J5" i="22"/>
  <c r="B5" i="22"/>
  <c r="C5" i="22"/>
  <c r="H5" i="22"/>
  <c r="I5" i="22"/>
  <c r="L5" i="22"/>
  <c r="M5" i="22"/>
  <c r="N5" i="22"/>
  <c r="O5" i="22"/>
  <c r="C18" i="23"/>
  <c r="D3" i="23"/>
  <c r="D18" i="23"/>
  <c r="C26" i="23"/>
  <c r="D26" i="23"/>
  <c r="C7" i="23"/>
  <c r="C19" i="23"/>
  <c r="D19" i="23"/>
  <c r="C8" i="23"/>
  <c r="C20" i="23"/>
  <c r="D20" i="23"/>
  <c r="C9" i="23"/>
  <c r="C21" i="23"/>
  <c r="D21" i="23"/>
  <c r="C10" i="23"/>
  <c r="C22" i="23"/>
  <c r="D22" i="23"/>
  <c r="C11" i="23"/>
  <c r="C23" i="23"/>
  <c r="D23" i="23"/>
  <c r="C12" i="23"/>
  <c r="C24" i="23"/>
  <c r="D24" i="23"/>
  <c r="C13" i="23"/>
  <c r="C25" i="23"/>
  <c r="D25" i="23"/>
  <c r="D27" i="23"/>
  <c r="C6" i="23"/>
  <c r="D6" i="23"/>
  <c r="H6" i="23"/>
  <c r="F6" i="23"/>
  <c r="D7" i="23"/>
  <c r="E7" i="23"/>
  <c r="F7" i="23"/>
  <c r="D8" i="23"/>
  <c r="E8" i="23"/>
  <c r="F8" i="23"/>
  <c r="D9" i="23"/>
  <c r="E9" i="23"/>
  <c r="F9" i="23"/>
  <c r="D10" i="23"/>
  <c r="E10" i="23"/>
  <c r="F10" i="23"/>
  <c r="D11" i="23"/>
  <c r="E11" i="23"/>
  <c r="F11" i="23"/>
  <c r="D12" i="23"/>
  <c r="E12" i="23"/>
  <c r="F12" i="23"/>
  <c r="D13" i="23"/>
  <c r="E13" i="23"/>
  <c r="F13" i="23"/>
  <c r="C14" i="23"/>
  <c r="D14" i="23"/>
  <c r="F14" i="23"/>
  <c r="F15" i="23"/>
  <c r="D15" i="23"/>
  <c r="G15" i="23"/>
  <c r="G6" i="23"/>
  <c r="I6" i="23"/>
  <c r="G7" i="23"/>
  <c r="I7" i="23"/>
  <c r="H8" i="23"/>
  <c r="G8" i="23"/>
  <c r="I8" i="23"/>
  <c r="G9" i="23"/>
  <c r="I9" i="23"/>
  <c r="H10" i="23"/>
  <c r="G10" i="23"/>
  <c r="I10" i="23"/>
  <c r="I11" i="23"/>
  <c r="H12" i="23"/>
  <c r="G12" i="23"/>
  <c r="I12" i="23"/>
  <c r="G13" i="23"/>
  <c r="I13" i="23"/>
  <c r="H14" i="23"/>
  <c r="G14" i="23"/>
  <c r="I14" i="23"/>
  <c r="I15" i="23"/>
  <c r="C3" i="23"/>
  <c r="B3" i="23"/>
  <c r="F31" i="23"/>
  <c r="E31" i="23"/>
  <c r="G31" i="23"/>
  <c r="B31" i="23"/>
  <c r="H31" i="23"/>
  <c r="I31" i="23"/>
  <c r="E3" i="23"/>
  <c r="B34" i="23"/>
  <c r="B37" i="23"/>
  <c r="C37" i="23"/>
  <c r="E37" i="23"/>
  <c r="B40" i="23"/>
  <c r="C40" i="23"/>
  <c r="D9" i="27"/>
  <c r="E9" i="27"/>
  <c r="F9" i="27"/>
  <c r="G9" i="27"/>
  <c r="D10" i="27"/>
  <c r="C10" i="27"/>
  <c r="E10" i="27"/>
  <c r="F10" i="27"/>
  <c r="G10" i="27"/>
  <c r="D11" i="27"/>
  <c r="C11" i="27"/>
  <c r="E11" i="27"/>
  <c r="F11" i="27"/>
  <c r="G11" i="27"/>
  <c r="D12" i="27"/>
  <c r="C12" i="27"/>
  <c r="E12" i="27"/>
  <c r="F12" i="27"/>
  <c r="G12" i="27"/>
  <c r="C13" i="27"/>
  <c r="D13" i="27"/>
  <c r="E13" i="27"/>
  <c r="F13" i="27"/>
  <c r="G13" i="27"/>
  <c r="C14" i="27"/>
  <c r="A3" i="27"/>
  <c r="D14" i="27"/>
  <c r="E14" i="27"/>
  <c r="F14" i="27"/>
  <c r="G14" i="27"/>
  <c r="C16" i="27"/>
  <c r="B3" i="27"/>
  <c r="D16" i="27"/>
  <c r="E16" i="27"/>
  <c r="F16" i="27"/>
  <c r="G16" i="27"/>
  <c r="C17" i="27"/>
  <c r="D17" i="27"/>
  <c r="E17" i="27"/>
  <c r="F17" i="27"/>
  <c r="G17" i="27"/>
  <c r="C18" i="27"/>
  <c r="D18" i="27"/>
  <c r="E18" i="27"/>
  <c r="F18" i="27"/>
  <c r="G18" i="27"/>
  <c r="C19" i="27"/>
  <c r="D19" i="27"/>
  <c r="E19" i="27"/>
  <c r="F19" i="27"/>
  <c r="G19" i="27"/>
  <c r="C20" i="27"/>
  <c r="D20" i="27"/>
  <c r="E20" i="27"/>
  <c r="F20" i="27"/>
  <c r="G20" i="27"/>
  <c r="C21" i="27"/>
  <c r="D21" i="27"/>
  <c r="E21" i="27"/>
  <c r="F21" i="27"/>
  <c r="G21" i="27"/>
  <c r="C15" i="27"/>
  <c r="D15" i="27"/>
  <c r="E15" i="27"/>
  <c r="F15" i="27"/>
  <c r="G15" i="27"/>
  <c r="C22" i="27"/>
  <c r="D22" i="27"/>
  <c r="E22" i="27"/>
  <c r="F22" i="27"/>
  <c r="G22" i="27"/>
  <c r="C23" i="27"/>
  <c r="D23" i="27"/>
  <c r="E23" i="27"/>
  <c r="G23" i="27"/>
  <c r="G27" i="27"/>
  <c r="E27" i="27"/>
  <c r="H27" i="27"/>
  <c r="H9" i="27"/>
  <c r="M28" i="2"/>
  <c r="I9" i="27"/>
  <c r="J9" i="27"/>
  <c r="J38" i="27"/>
  <c r="H10" i="27"/>
  <c r="J10" i="27"/>
  <c r="J39" i="27"/>
  <c r="H11" i="27"/>
  <c r="I11" i="27"/>
  <c r="J11" i="27"/>
  <c r="J40" i="27"/>
  <c r="H12" i="27"/>
  <c r="J12" i="27"/>
  <c r="J41" i="27"/>
  <c r="H13" i="27"/>
  <c r="M32" i="2"/>
  <c r="I13" i="27"/>
  <c r="J13" i="27"/>
  <c r="J42" i="27"/>
  <c r="H14" i="27"/>
  <c r="I14" i="27"/>
  <c r="J14" i="27"/>
  <c r="J43" i="27"/>
  <c r="H15" i="27"/>
  <c r="J15" i="27"/>
  <c r="J44" i="27"/>
  <c r="M34" i="2"/>
  <c r="I16" i="27"/>
  <c r="H16" i="27"/>
  <c r="J16" i="27"/>
  <c r="J45" i="27"/>
  <c r="H18" i="27"/>
  <c r="J18" i="27"/>
  <c r="J46" i="27"/>
  <c r="M36" i="2"/>
  <c r="I19" i="27"/>
  <c r="H19" i="27"/>
  <c r="J19" i="27"/>
  <c r="J47" i="27"/>
  <c r="H20" i="27"/>
  <c r="J20" i="27"/>
  <c r="J48" i="27"/>
  <c r="M38" i="2"/>
  <c r="I21" i="27"/>
  <c r="H21" i="27"/>
  <c r="J21" i="27"/>
  <c r="J49" i="27"/>
  <c r="H22" i="27"/>
  <c r="J22" i="27"/>
  <c r="J50" i="27"/>
  <c r="H23" i="27"/>
  <c r="M40" i="2"/>
  <c r="I23" i="27"/>
  <c r="J23" i="27"/>
  <c r="J51" i="27"/>
  <c r="J52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D38" i="27"/>
  <c r="E38" i="27"/>
  <c r="C39" i="27"/>
  <c r="D39" i="27"/>
  <c r="E39" i="27"/>
  <c r="C40" i="27"/>
  <c r="D40" i="27"/>
  <c r="E40" i="27"/>
  <c r="C41" i="27"/>
  <c r="D41" i="27"/>
  <c r="E41" i="27"/>
  <c r="C42" i="27"/>
  <c r="D42" i="27"/>
  <c r="E42" i="27"/>
  <c r="C43" i="27"/>
  <c r="D43" i="27"/>
  <c r="E43" i="27"/>
  <c r="C44" i="27"/>
  <c r="D44" i="27"/>
  <c r="E44" i="27"/>
  <c r="C45" i="27"/>
  <c r="D45" i="27"/>
  <c r="E45" i="27"/>
  <c r="C46" i="27"/>
  <c r="D46" i="27"/>
  <c r="E46" i="27"/>
  <c r="C47" i="27"/>
  <c r="D47" i="27"/>
  <c r="E47" i="27"/>
  <c r="C48" i="27"/>
  <c r="D48" i="27"/>
  <c r="E48" i="27"/>
  <c r="C49" i="27"/>
  <c r="D49" i="27"/>
  <c r="E49" i="27"/>
  <c r="C50" i="27"/>
  <c r="D50" i="27"/>
  <c r="E50" i="27"/>
  <c r="C51" i="27"/>
  <c r="D51" i="27"/>
  <c r="E51" i="27"/>
  <c r="E52" i="27"/>
  <c r="H52" i="27"/>
  <c r="I51" i="27"/>
  <c r="H51" i="27"/>
  <c r="F51" i="27"/>
  <c r="I50" i="27"/>
  <c r="H50" i="27"/>
  <c r="F50" i="27"/>
  <c r="I49" i="27"/>
  <c r="H49" i="27"/>
  <c r="F49" i="27"/>
  <c r="I48" i="27"/>
  <c r="H48" i="27"/>
  <c r="F48" i="27"/>
  <c r="I47" i="27"/>
  <c r="H47" i="27"/>
  <c r="F47" i="27"/>
  <c r="I46" i="27"/>
  <c r="H46" i="27"/>
  <c r="F46" i="27"/>
  <c r="I45" i="27"/>
  <c r="H45" i="27"/>
  <c r="F45" i="27"/>
  <c r="I44" i="27"/>
  <c r="H44" i="27"/>
  <c r="F44" i="27"/>
  <c r="I43" i="27"/>
  <c r="H43" i="27"/>
  <c r="F43" i="27"/>
  <c r="I42" i="27"/>
  <c r="H42" i="27"/>
  <c r="F42" i="27"/>
  <c r="I41" i="27"/>
  <c r="H41" i="27"/>
  <c r="F41" i="27"/>
  <c r="I40" i="27"/>
  <c r="H40" i="27"/>
  <c r="F40" i="27"/>
  <c r="I39" i="27"/>
  <c r="H39" i="27"/>
  <c r="F39" i="27"/>
  <c r="I38" i="27"/>
  <c r="H38" i="27"/>
  <c r="F38" i="27"/>
  <c r="D5" i="11"/>
  <c r="J5" i="11"/>
  <c r="C5" i="11"/>
  <c r="H5" i="11"/>
  <c r="B5" i="11"/>
  <c r="I5" i="11"/>
  <c r="L5" i="11"/>
  <c r="M5" i="11"/>
  <c r="N5" i="11"/>
  <c r="O5" i="11"/>
  <c r="C18" i="12"/>
  <c r="D3" i="12"/>
  <c r="D18" i="12"/>
  <c r="C26" i="12"/>
  <c r="D26" i="12"/>
  <c r="C7" i="12"/>
  <c r="C19" i="12"/>
  <c r="D19" i="12"/>
  <c r="C8" i="12"/>
  <c r="C20" i="12"/>
  <c r="D20" i="12"/>
  <c r="C9" i="12"/>
  <c r="C21" i="12"/>
  <c r="D21" i="12"/>
  <c r="C10" i="12"/>
  <c r="C22" i="12"/>
  <c r="D22" i="12"/>
  <c r="C11" i="12"/>
  <c r="C23" i="12"/>
  <c r="D23" i="12"/>
  <c r="C12" i="12"/>
  <c r="C24" i="12"/>
  <c r="D24" i="12"/>
  <c r="C13" i="12"/>
  <c r="C25" i="12"/>
  <c r="D25" i="12"/>
  <c r="D27" i="12"/>
  <c r="I6" i="12"/>
  <c r="I7" i="12"/>
  <c r="I8" i="12"/>
  <c r="I9" i="12"/>
  <c r="I10" i="12"/>
  <c r="I11" i="12"/>
  <c r="I12" i="12"/>
  <c r="I13" i="12"/>
  <c r="I14" i="12"/>
  <c r="I15" i="12"/>
  <c r="B3" i="12"/>
  <c r="C3" i="12"/>
  <c r="F31" i="12"/>
  <c r="E31" i="12"/>
  <c r="G31" i="12"/>
  <c r="B31" i="12"/>
  <c r="H31" i="12"/>
  <c r="I31" i="12"/>
  <c r="E3" i="12"/>
  <c r="B34" i="12"/>
  <c r="B37" i="12"/>
  <c r="C37" i="12"/>
  <c r="E37" i="12"/>
  <c r="B40" i="12"/>
  <c r="C40" i="12"/>
  <c r="D5" i="17"/>
  <c r="J5" i="17"/>
  <c r="C5" i="17"/>
  <c r="H5" i="17"/>
  <c r="B5" i="17"/>
  <c r="I5" i="17"/>
  <c r="L5" i="17"/>
  <c r="M5" i="17"/>
  <c r="N5" i="17"/>
  <c r="O5" i="17"/>
  <c r="C18" i="18"/>
  <c r="D3" i="18"/>
  <c r="D18" i="18"/>
  <c r="C26" i="18"/>
  <c r="D26" i="18"/>
  <c r="C7" i="18"/>
  <c r="C19" i="18"/>
  <c r="D19" i="18"/>
  <c r="C8" i="18"/>
  <c r="C20" i="18"/>
  <c r="D20" i="18"/>
  <c r="C9" i="18"/>
  <c r="C21" i="18"/>
  <c r="D21" i="18"/>
  <c r="C10" i="18"/>
  <c r="C22" i="18"/>
  <c r="D22" i="18"/>
  <c r="C11" i="18"/>
  <c r="C23" i="18"/>
  <c r="D23" i="18"/>
  <c r="C12" i="18"/>
  <c r="C24" i="18"/>
  <c r="D24" i="18"/>
  <c r="C13" i="18"/>
  <c r="C25" i="18"/>
  <c r="D25" i="18"/>
  <c r="D27" i="18"/>
  <c r="I6" i="18"/>
  <c r="I7" i="18"/>
  <c r="I8" i="18"/>
  <c r="I9" i="18"/>
  <c r="I10" i="18"/>
  <c r="I11" i="18"/>
  <c r="I12" i="18"/>
  <c r="I13" i="18"/>
  <c r="I14" i="18"/>
  <c r="I15" i="18"/>
  <c r="B3" i="18"/>
  <c r="C3" i="18"/>
  <c r="F31" i="18"/>
  <c r="E31" i="18"/>
  <c r="G31" i="18"/>
  <c r="B31" i="18"/>
  <c r="H31" i="18"/>
  <c r="I31" i="18"/>
  <c r="E3" i="18"/>
  <c r="B34" i="18"/>
  <c r="B37" i="18"/>
  <c r="C37" i="18"/>
  <c r="E37" i="18"/>
  <c r="B40" i="18"/>
  <c r="D5" i="24"/>
  <c r="J5" i="24"/>
  <c r="C5" i="24"/>
  <c r="H5" i="24"/>
  <c r="B5" i="24"/>
  <c r="I5" i="24"/>
  <c r="L5" i="24"/>
  <c r="M5" i="24"/>
  <c r="N5" i="24"/>
  <c r="O5" i="24"/>
  <c r="C18" i="25"/>
  <c r="D3" i="25"/>
  <c r="D18" i="25"/>
  <c r="C26" i="25"/>
  <c r="D26" i="25"/>
  <c r="C7" i="25"/>
  <c r="C19" i="25"/>
  <c r="D19" i="25"/>
  <c r="C8" i="25"/>
  <c r="C20" i="25"/>
  <c r="D20" i="25"/>
  <c r="C9" i="25"/>
  <c r="C21" i="25"/>
  <c r="D21" i="25"/>
  <c r="C10" i="25"/>
  <c r="C22" i="25"/>
  <c r="D22" i="25"/>
  <c r="C11" i="25"/>
  <c r="C23" i="25"/>
  <c r="D23" i="25"/>
  <c r="C12" i="25"/>
  <c r="C24" i="25"/>
  <c r="D24" i="25"/>
  <c r="C13" i="25"/>
  <c r="C25" i="25"/>
  <c r="D25" i="25"/>
  <c r="D27" i="25"/>
  <c r="I6" i="25"/>
  <c r="I7" i="25"/>
  <c r="I8" i="25"/>
  <c r="I9" i="25"/>
  <c r="I10" i="25"/>
  <c r="I11" i="25"/>
  <c r="I12" i="25"/>
  <c r="I13" i="25"/>
  <c r="I14" i="25"/>
  <c r="I15" i="25"/>
  <c r="B3" i="25"/>
  <c r="C3" i="25"/>
  <c r="F31" i="25"/>
  <c r="E31" i="25"/>
  <c r="G31" i="25"/>
  <c r="B31" i="25"/>
  <c r="H31" i="25"/>
  <c r="I31" i="25"/>
  <c r="E3" i="25"/>
  <c r="B34" i="25"/>
  <c r="B37" i="25"/>
  <c r="C37" i="25"/>
  <c r="E37" i="25"/>
  <c r="B40" i="25"/>
  <c r="E19" i="28"/>
  <c r="E18" i="28"/>
  <c r="F3" i="26"/>
  <c r="B3" i="26"/>
  <c r="C3" i="26"/>
  <c r="B6" i="26"/>
  <c r="C6" i="26"/>
  <c r="D6" i="26"/>
  <c r="E13" i="28"/>
  <c r="E12" i="28"/>
  <c r="E11" i="28"/>
  <c r="G3" i="26"/>
  <c r="H3" i="26"/>
  <c r="E10" i="28"/>
  <c r="E9" i="28"/>
  <c r="E8" i="28"/>
  <c r="E7" i="28"/>
  <c r="E6" i="28"/>
  <c r="E5" i="28"/>
  <c r="E4" i="28"/>
  <c r="E3" i="28"/>
  <c r="D19" i="28"/>
  <c r="D18" i="28"/>
  <c r="D13" i="28"/>
  <c r="D12" i="28"/>
  <c r="D11" i="28"/>
  <c r="D10" i="28"/>
  <c r="D9" i="28"/>
  <c r="D8" i="28"/>
  <c r="D7" i="28"/>
  <c r="D6" i="28"/>
  <c r="D5" i="28"/>
  <c r="D4" i="28"/>
  <c r="D3" i="28"/>
  <c r="C19" i="28"/>
  <c r="C18" i="28"/>
  <c r="C13" i="28"/>
  <c r="C12" i="28"/>
  <c r="C11" i="28"/>
  <c r="C10" i="28"/>
  <c r="C9" i="28"/>
  <c r="C8" i="28"/>
  <c r="C7" i="28"/>
  <c r="C6" i="28"/>
  <c r="C5" i="28"/>
  <c r="C4" i="28"/>
  <c r="C3" i="28"/>
  <c r="E14" i="28"/>
  <c r="D14" i="28"/>
  <c r="C14" i="28"/>
  <c r="G38" i="8"/>
  <c r="H9" i="8"/>
  <c r="H38" i="8"/>
  <c r="I9" i="8"/>
  <c r="I38" i="8"/>
  <c r="J9" i="8"/>
  <c r="J38" i="8"/>
  <c r="G39" i="8"/>
  <c r="H10" i="8"/>
  <c r="H39" i="8"/>
  <c r="I39" i="8"/>
  <c r="J10" i="8"/>
  <c r="J39" i="8"/>
  <c r="G40" i="8"/>
  <c r="H11" i="8"/>
  <c r="H40" i="8"/>
  <c r="I11" i="8"/>
  <c r="I40" i="8"/>
  <c r="J11" i="8"/>
  <c r="J40" i="8"/>
  <c r="G41" i="8"/>
  <c r="H12" i="8"/>
  <c r="H41" i="8"/>
  <c r="I41" i="8"/>
  <c r="J12" i="8"/>
  <c r="J41" i="8"/>
  <c r="G42" i="8"/>
  <c r="H13" i="8"/>
  <c r="H42" i="8"/>
  <c r="I13" i="8"/>
  <c r="I42" i="8"/>
  <c r="J13" i="8"/>
  <c r="J42" i="8"/>
  <c r="G43" i="8"/>
  <c r="H14" i="8"/>
  <c r="H43" i="8"/>
  <c r="I14" i="8"/>
  <c r="I43" i="8"/>
  <c r="J14" i="8"/>
  <c r="J43" i="8"/>
  <c r="G44" i="8"/>
  <c r="H15" i="8"/>
  <c r="H44" i="8"/>
  <c r="I44" i="8"/>
  <c r="J15" i="8"/>
  <c r="J44" i="8"/>
  <c r="G45" i="8"/>
  <c r="H16" i="8"/>
  <c r="H45" i="8"/>
  <c r="I16" i="8"/>
  <c r="I45" i="8"/>
  <c r="J16" i="8"/>
  <c r="J45" i="8"/>
  <c r="G46" i="8"/>
  <c r="H18" i="8"/>
  <c r="H46" i="8"/>
  <c r="I46" i="8"/>
  <c r="J18" i="8"/>
  <c r="J46" i="8"/>
  <c r="G47" i="8"/>
  <c r="H19" i="8"/>
  <c r="H47" i="8"/>
  <c r="I19" i="8"/>
  <c r="I47" i="8"/>
  <c r="J19" i="8"/>
  <c r="J47" i="8"/>
  <c r="G48" i="8"/>
  <c r="H20" i="8"/>
  <c r="H48" i="8"/>
  <c r="I48" i="8"/>
  <c r="J20" i="8"/>
  <c r="J48" i="8"/>
  <c r="G49" i="8"/>
  <c r="H21" i="8"/>
  <c r="H49" i="8"/>
  <c r="I21" i="8"/>
  <c r="I49" i="8"/>
  <c r="J21" i="8"/>
  <c r="J49" i="8"/>
  <c r="G50" i="8"/>
  <c r="H22" i="8"/>
  <c r="H50" i="8"/>
  <c r="I50" i="8"/>
  <c r="J22" i="8"/>
  <c r="J50" i="8"/>
  <c r="G51" i="8"/>
  <c r="H23" i="8"/>
  <c r="H51" i="8"/>
  <c r="I23" i="8"/>
  <c r="I51" i="8"/>
  <c r="J23" i="8"/>
  <c r="J51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D39" i="8"/>
  <c r="C39" i="8"/>
  <c r="E39" i="8"/>
  <c r="D40" i="8"/>
  <c r="C40" i="8"/>
  <c r="E40" i="8"/>
  <c r="D41" i="8"/>
  <c r="C41" i="8"/>
  <c r="E41" i="8"/>
  <c r="D42" i="8"/>
  <c r="C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D38" i="8"/>
  <c r="C38" i="8"/>
  <c r="E38" i="8"/>
  <c r="F23" i="8"/>
  <c r="I17" i="8"/>
  <c r="H17" i="8"/>
  <c r="J17" i="8"/>
  <c r="J52" i="8"/>
  <c r="G52" i="8"/>
  <c r="E52" i="8"/>
  <c r="H52" i="8"/>
  <c r="C48" i="4"/>
  <c r="D56" i="4"/>
  <c r="E56" i="4"/>
  <c r="F56" i="4"/>
  <c r="G56" i="4"/>
  <c r="H56" i="4"/>
  <c r="I56" i="4"/>
  <c r="D57" i="4"/>
  <c r="E57" i="4"/>
  <c r="F57" i="4"/>
  <c r="G57" i="4"/>
  <c r="H57" i="4"/>
  <c r="I57" i="4"/>
  <c r="D58" i="4"/>
  <c r="E58" i="4"/>
  <c r="F58" i="4"/>
  <c r="G58" i="4"/>
  <c r="H58" i="4"/>
  <c r="I58" i="4"/>
  <c r="D59" i="4"/>
  <c r="E59" i="4"/>
  <c r="F59" i="4"/>
  <c r="G59" i="4"/>
  <c r="H59" i="4"/>
  <c r="I59" i="4"/>
  <c r="D60" i="4"/>
  <c r="E60" i="4"/>
  <c r="F60" i="4"/>
  <c r="G60" i="4"/>
  <c r="H60" i="4"/>
  <c r="I60" i="4"/>
  <c r="D61" i="4"/>
  <c r="E61" i="4"/>
  <c r="F61" i="4"/>
  <c r="G11" i="4"/>
  <c r="G61" i="4"/>
  <c r="H61" i="4"/>
  <c r="I61" i="4"/>
  <c r="D62" i="4"/>
  <c r="E62" i="4"/>
  <c r="F62" i="4"/>
  <c r="G62" i="4"/>
  <c r="H62" i="4"/>
  <c r="I62" i="4"/>
  <c r="D63" i="4"/>
  <c r="E63" i="4"/>
  <c r="F63" i="4"/>
  <c r="G63" i="4"/>
  <c r="H63" i="4"/>
  <c r="I63" i="4"/>
  <c r="D64" i="4"/>
  <c r="E64" i="4"/>
  <c r="F64" i="4"/>
  <c r="G64" i="4"/>
  <c r="H64" i="4"/>
  <c r="I64" i="4"/>
  <c r="C57" i="4"/>
  <c r="C58" i="4"/>
  <c r="C59" i="4"/>
  <c r="C60" i="4"/>
  <c r="C61" i="4"/>
  <c r="C62" i="4"/>
  <c r="C63" i="4"/>
  <c r="C64" i="4"/>
  <c r="C56" i="4"/>
  <c r="C45" i="4"/>
  <c r="D45" i="4"/>
  <c r="C46" i="4"/>
  <c r="D46" i="4"/>
  <c r="C47" i="4"/>
  <c r="D47" i="4"/>
  <c r="D48" i="4"/>
  <c r="C49" i="4"/>
  <c r="D49" i="4"/>
  <c r="C50" i="4"/>
  <c r="D50" i="4"/>
  <c r="C51" i="4"/>
  <c r="D51" i="4"/>
  <c r="C52" i="4"/>
  <c r="D52" i="4"/>
  <c r="D44" i="4"/>
  <c r="C44" i="4"/>
  <c r="E14" i="4"/>
  <c r="I65" i="4"/>
  <c r="F65" i="4"/>
  <c r="D65" i="4"/>
  <c r="G65" i="4"/>
  <c r="D53" i="4"/>
  <c r="L29" i="2"/>
  <c r="N29" i="2"/>
  <c r="O49" i="2"/>
  <c r="L30" i="2"/>
  <c r="N30" i="2"/>
  <c r="O50" i="2"/>
  <c r="L31" i="2"/>
  <c r="N31" i="2"/>
  <c r="O51" i="2"/>
  <c r="L32" i="2"/>
  <c r="N32" i="2"/>
  <c r="O52" i="2"/>
  <c r="L33" i="2"/>
  <c r="N33" i="2"/>
  <c r="O53" i="2"/>
  <c r="L34" i="2"/>
  <c r="N34" i="2"/>
  <c r="O54" i="2"/>
  <c r="L35" i="2"/>
  <c r="N35" i="2"/>
  <c r="O55" i="2"/>
  <c r="L36" i="2"/>
  <c r="N36" i="2"/>
  <c r="O56" i="2"/>
  <c r="L37" i="2"/>
  <c r="N37" i="2"/>
  <c r="O57" i="2"/>
  <c r="L38" i="2"/>
  <c r="N38" i="2"/>
  <c r="O58" i="2"/>
  <c r="L39" i="2"/>
  <c r="N39" i="2"/>
  <c r="O59" i="2"/>
  <c r="L40" i="2"/>
  <c r="N40" i="2"/>
  <c r="O60" i="2"/>
  <c r="L28" i="2"/>
  <c r="N28" i="2"/>
  <c r="O48" i="2"/>
  <c r="N50" i="2"/>
  <c r="N52" i="2"/>
  <c r="N54" i="2"/>
  <c r="N56" i="2"/>
  <c r="N58" i="2"/>
  <c r="N60" i="2"/>
  <c r="N48" i="2"/>
  <c r="M49" i="2"/>
  <c r="M50" i="2"/>
  <c r="M51" i="2"/>
  <c r="M52" i="2"/>
  <c r="M53" i="2"/>
  <c r="M54" i="2"/>
  <c r="M55" i="2"/>
  <c r="M56" i="2"/>
  <c r="M57" i="2"/>
  <c r="M58" i="2"/>
  <c r="M59" i="2"/>
  <c r="M60" i="2"/>
  <c r="M48" i="2"/>
  <c r="J49" i="2"/>
  <c r="K49" i="2"/>
  <c r="L49" i="2"/>
  <c r="J50" i="2"/>
  <c r="K50" i="2"/>
  <c r="L50" i="2"/>
  <c r="J51" i="2"/>
  <c r="K51" i="2"/>
  <c r="L51" i="2"/>
  <c r="J52" i="2"/>
  <c r="K52" i="2"/>
  <c r="L52" i="2"/>
  <c r="J53" i="2"/>
  <c r="K53" i="2"/>
  <c r="L53" i="2"/>
  <c r="J54" i="2"/>
  <c r="K54" i="2"/>
  <c r="L54" i="2"/>
  <c r="J55" i="2"/>
  <c r="K55" i="2"/>
  <c r="L55" i="2"/>
  <c r="J56" i="2"/>
  <c r="K56" i="2"/>
  <c r="L56" i="2"/>
  <c r="J57" i="2"/>
  <c r="K57" i="2"/>
  <c r="L57" i="2"/>
  <c r="J58" i="2"/>
  <c r="K58" i="2"/>
  <c r="L58" i="2"/>
  <c r="J59" i="2"/>
  <c r="K59" i="2"/>
  <c r="L59" i="2"/>
  <c r="J60" i="2"/>
  <c r="L60" i="2"/>
  <c r="J48" i="2"/>
  <c r="K48" i="2"/>
  <c r="L48" i="2"/>
  <c r="K60" i="2"/>
  <c r="I49" i="2"/>
  <c r="I50" i="2"/>
  <c r="I51" i="2"/>
  <c r="I52" i="2"/>
  <c r="I53" i="2"/>
  <c r="I54" i="2"/>
  <c r="I55" i="2"/>
  <c r="I56" i="2"/>
  <c r="I57" i="2"/>
  <c r="I58" i="2"/>
  <c r="I59" i="2"/>
  <c r="I60" i="2"/>
  <c r="I48" i="2"/>
  <c r="O61" i="2"/>
  <c r="L61" i="2"/>
  <c r="J61" i="2"/>
  <c r="M61" i="2"/>
  <c r="C18" i="6"/>
  <c r="D3" i="6"/>
  <c r="D18" i="6"/>
  <c r="C26" i="6"/>
  <c r="D26" i="6"/>
  <c r="C7" i="6"/>
  <c r="C19" i="6"/>
  <c r="D19" i="6"/>
  <c r="C8" i="6"/>
  <c r="C20" i="6"/>
  <c r="D20" i="6"/>
  <c r="C9" i="6"/>
  <c r="C21" i="6"/>
  <c r="D21" i="6"/>
  <c r="C10" i="6"/>
  <c r="C22" i="6"/>
  <c r="D22" i="6"/>
  <c r="C11" i="6"/>
  <c r="C23" i="6"/>
  <c r="D23" i="6"/>
  <c r="C12" i="6"/>
  <c r="C24" i="6"/>
  <c r="D24" i="6"/>
  <c r="C13" i="6"/>
  <c r="C25" i="6"/>
  <c r="D25" i="6"/>
  <c r="D27" i="6"/>
  <c r="I6" i="6"/>
  <c r="I7" i="6"/>
  <c r="I8" i="6"/>
  <c r="I9" i="6"/>
  <c r="I10" i="6"/>
  <c r="I11" i="6"/>
  <c r="I12" i="6"/>
  <c r="I13" i="6"/>
  <c r="I14" i="6"/>
  <c r="I15" i="6"/>
  <c r="C3" i="6"/>
  <c r="B3" i="6"/>
  <c r="F31" i="6"/>
  <c r="E31" i="6"/>
  <c r="G31" i="6"/>
  <c r="B31" i="6"/>
  <c r="H31" i="6"/>
  <c r="I31" i="6"/>
  <c r="E3" i="6"/>
  <c r="B34" i="6"/>
  <c r="B37" i="6"/>
  <c r="C37" i="6"/>
  <c r="E37" i="6"/>
  <c r="B40" i="6"/>
  <c r="C40" i="6"/>
  <c r="F23" i="14"/>
  <c r="F23" i="20"/>
  <c r="H18" i="14"/>
  <c r="J18" i="14"/>
  <c r="K3" i="21"/>
  <c r="E3" i="21"/>
  <c r="J3" i="21"/>
  <c r="I3" i="21"/>
  <c r="F3" i="21"/>
  <c r="H3" i="21"/>
  <c r="B7" i="21"/>
  <c r="E12" i="21"/>
  <c r="E40" i="18"/>
  <c r="G40" i="18"/>
  <c r="C40" i="25"/>
  <c r="C40" i="18"/>
  <c r="C3" i="21"/>
  <c r="F12" i="21"/>
  <c r="H12" i="21"/>
  <c r="I12" i="21"/>
  <c r="G5" i="7"/>
  <c r="D31" i="1"/>
  <c r="E10" i="2"/>
  <c r="E11" i="2"/>
  <c r="E9" i="2"/>
  <c r="B29" i="7"/>
  <c r="D32" i="1"/>
  <c r="D34" i="1"/>
  <c r="B32" i="7"/>
  <c r="F15" i="2"/>
  <c r="L15" i="2"/>
  <c r="I15" i="2"/>
  <c r="C15" i="2"/>
  <c r="B2" i="2"/>
  <c r="E10" i="6"/>
  <c r="E10" i="12"/>
  <c r="E10" i="18"/>
  <c r="E10" i="25"/>
  <c r="E8" i="25"/>
  <c r="E8" i="18"/>
  <c r="E8" i="12"/>
  <c r="E8" i="6"/>
  <c r="D2" i="2"/>
  <c r="C2" i="2"/>
  <c r="E14" i="23"/>
  <c r="E14" i="16"/>
  <c r="E14" i="10"/>
  <c r="E3" i="7"/>
  <c r="E3" i="13"/>
  <c r="E3" i="19"/>
  <c r="E40" i="6"/>
  <c r="G40" i="6"/>
  <c r="D35" i="1"/>
  <c r="D33" i="1"/>
  <c r="F18" i="2"/>
  <c r="F2" i="2"/>
  <c r="J12" i="21"/>
  <c r="K12" i="21"/>
  <c r="G41" i="1"/>
  <c r="F23" i="27"/>
  <c r="D3" i="27"/>
  <c r="G12" i="21"/>
  <c r="E13" i="21"/>
  <c r="F13" i="21"/>
  <c r="H13" i="21"/>
  <c r="I13" i="21"/>
  <c r="J13" i="21"/>
  <c r="E14" i="21"/>
  <c r="F14" i="21"/>
  <c r="H14" i="21"/>
  <c r="I14" i="21"/>
  <c r="J14" i="21"/>
  <c r="G13" i="21"/>
  <c r="G14" i="21"/>
  <c r="B3" i="21"/>
  <c r="I16" i="20"/>
  <c r="D3" i="20"/>
  <c r="I9" i="20"/>
  <c r="I11" i="20"/>
  <c r="I13" i="20"/>
  <c r="I14" i="20"/>
  <c r="I19" i="20"/>
  <c r="I21" i="20"/>
  <c r="I23" i="20"/>
  <c r="C3" i="27"/>
  <c r="C25" i="26"/>
  <c r="C24" i="26"/>
  <c r="C23" i="26"/>
  <c r="C22" i="26"/>
  <c r="C21" i="26"/>
  <c r="C20" i="26"/>
  <c r="E3" i="26"/>
  <c r="C18" i="26"/>
  <c r="C17" i="26"/>
  <c r="C14" i="26"/>
  <c r="C13" i="26"/>
  <c r="C12" i="26"/>
  <c r="C11" i="26"/>
  <c r="D3" i="26"/>
  <c r="D31" i="25"/>
  <c r="C6" i="25"/>
  <c r="D6" i="25"/>
  <c r="E6" i="25"/>
  <c r="F6" i="25"/>
  <c r="D7" i="25"/>
  <c r="E7" i="25"/>
  <c r="F7" i="25"/>
  <c r="D8" i="25"/>
  <c r="F8" i="25"/>
  <c r="D9" i="25"/>
  <c r="E9" i="25"/>
  <c r="F9" i="25"/>
  <c r="D10" i="25"/>
  <c r="F10" i="25"/>
  <c r="D11" i="25"/>
  <c r="E11" i="25"/>
  <c r="F11" i="25"/>
  <c r="D12" i="25"/>
  <c r="E12" i="25"/>
  <c r="F12" i="25"/>
  <c r="D13" i="25"/>
  <c r="E13" i="25"/>
  <c r="F13" i="25"/>
  <c r="C14" i="25"/>
  <c r="D14" i="25"/>
  <c r="E14" i="25"/>
  <c r="F14" i="25"/>
  <c r="F15" i="25"/>
  <c r="D15" i="25"/>
  <c r="G15" i="25"/>
  <c r="H14" i="25"/>
  <c r="G14" i="25"/>
  <c r="H13" i="25"/>
  <c r="G13" i="25"/>
  <c r="H12" i="25"/>
  <c r="G12" i="25"/>
  <c r="H11" i="25"/>
  <c r="G11" i="25"/>
  <c r="H10" i="25"/>
  <c r="G10" i="25"/>
  <c r="H9" i="25"/>
  <c r="G9" i="25"/>
  <c r="H8" i="25"/>
  <c r="G8" i="25"/>
  <c r="H7" i="25"/>
  <c r="G7" i="25"/>
  <c r="H6" i="25"/>
  <c r="G6" i="25"/>
  <c r="F3" i="25"/>
  <c r="E5" i="3"/>
  <c r="E5" i="24"/>
  <c r="D31" i="23"/>
  <c r="G11" i="23"/>
  <c r="F3" i="23"/>
  <c r="E5" i="22"/>
  <c r="E40" i="4"/>
  <c r="F3" i="12"/>
  <c r="F3" i="18"/>
  <c r="F3" i="6"/>
  <c r="K3" i="6"/>
  <c r="F3" i="4"/>
  <c r="K3" i="4"/>
  <c r="F3" i="16"/>
  <c r="F3" i="10"/>
  <c r="J3" i="2"/>
  <c r="I44" i="2"/>
  <c r="I45" i="2"/>
  <c r="N43" i="2"/>
  <c r="N44" i="2"/>
  <c r="D3" i="8"/>
  <c r="I25" i="2"/>
  <c r="C32" i="7"/>
  <c r="D32" i="7"/>
  <c r="F32" i="7"/>
  <c r="E32" i="7"/>
  <c r="H29" i="7"/>
  <c r="C29" i="7"/>
  <c r="G32" i="7"/>
  <c r="K14" i="21"/>
  <c r="K13" i="21"/>
  <c r="F7" i="21"/>
  <c r="D7" i="21"/>
  <c r="C7" i="21"/>
  <c r="C3" i="20"/>
  <c r="C25" i="19"/>
  <c r="C24" i="19"/>
  <c r="C22" i="19"/>
  <c r="C20" i="19"/>
  <c r="C17" i="19"/>
  <c r="C14" i="19"/>
  <c r="C13" i="19"/>
  <c r="C12" i="19"/>
  <c r="C11" i="19"/>
  <c r="D3" i="19"/>
  <c r="D31" i="18"/>
  <c r="C6" i="18"/>
  <c r="D6" i="18"/>
  <c r="E6" i="18"/>
  <c r="F6" i="18"/>
  <c r="D7" i="18"/>
  <c r="E7" i="18"/>
  <c r="F7" i="18"/>
  <c r="D8" i="18"/>
  <c r="F8" i="18"/>
  <c r="D9" i="18"/>
  <c r="E9" i="18"/>
  <c r="F9" i="18"/>
  <c r="D10" i="18"/>
  <c r="F10" i="18"/>
  <c r="D11" i="18"/>
  <c r="E11" i="18"/>
  <c r="F11" i="18"/>
  <c r="D12" i="18"/>
  <c r="E12" i="18"/>
  <c r="F12" i="18"/>
  <c r="D13" i="18"/>
  <c r="E13" i="18"/>
  <c r="F13" i="18"/>
  <c r="C14" i="18"/>
  <c r="D14" i="18"/>
  <c r="E14" i="18"/>
  <c r="F14" i="18"/>
  <c r="F15" i="18"/>
  <c r="D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E5" i="17"/>
  <c r="D31" i="16"/>
  <c r="G11" i="16"/>
  <c r="E5" i="15"/>
  <c r="D3" i="14"/>
  <c r="I9" i="14"/>
  <c r="I11" i="14"/>
  <c r="I13" i="14"/>
  <c r="I14" i="14"/>
  <c r="I19" i="14"/>
  <c r="I23" i="14"/>
  <c r="I16" i="14"/>
  <c r="I21" i="14"/>
  <c r="C3" i="14"/>
  <c r="C25" i="13"/>
  <c r="C24" i="13"/>
  <c r="C22" i="13"/>
  <c r="C20" i="13"/>
  <c r="D3" i="13"/>
  <c r="C17" i="13"/>
  <c r="C14" i="13"/>
  <c r="C13" i="13"/>
  <c r="C12" i="13"/>
  <c r="C11" i="13"/>
  <c r="D31" i="12"/>
  <c r="C6" i="12"/>
  <c r="D6" i="12"/>
  <c r="E6" i="12"/>
  <c r="F6" i="12"/>
  <c r="D7" i="12"/>
  <c r="E7" i="12"/>
  <c r="F7" i="12"/>
  <c r="D8" i="12"/>
  <c r="F8" i="12"/>
  <c r="D9" i="12"/>
  <c r="E9" i="12"/>
  <c r="F9" i="12"/>
  <c r="D10" i="12"/>
  <c r="F10" i="12"/>
  <c r="D11" i="12"/>
  <c r="E11" i="12"/>
  <c r="F11" i="12"/>
  <c r="D12" i="12"/>
  <c r="E12" i="12"/>
  <c r="F12" i="12"/>
  <c r="D13" i="12"/>
  <c r="E13" i="12"/>
  <c r="F13" i="12"/>
  <c r="C14" i="12"/>
  <c r="D14" i="12"/>
  <c r="E14" i="12"/>
  <c r="F14" i="12"/>
  <c r="F15" i="12"/>
  <c r="D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E5" i="11"/>
  <c r="D31" i="10"/>
  <c r="G11" i="10"/>
  <c r="E5" i="9"/>
  <c r="C3" i="8"/>
  <c r="E6" i="7"/>
  <c r="H7" i="6"/>
  <c r="H8" i="6"/>
  <c r="H9" i="6"/>
  <c r="H10" i="6"/>
  <c r="H11" i="6"/>
  <c r="H12" i="6"/>
  <c r="H13" i="6"/>
  <c r="H14" i="6"/>
  <c r="H6" i="6"/>
  <c r="E7" i="6"/>
  <c r="E9" i="6"/>
  <c r="E11" i="6"/>
  <c r="E12" i="6"/>
  <c r="E13" i="6"/>
  <c r="E14" i="6"/>
  <c r="E6" i="6"/>
  <c r="C6" i="6"/>
  <c r="D6" i="6"/>
  <c r="C14" i="6"/>
  <c r="F6" i="6"/>
  <c r="D7" i="6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F15" i="6"/>
  <c r="D15" i="6"/>
  <c r="G15" i="6"/>
  <c r="G6" i="6"/>
  <c r="G7" i="6"/>
  <c r="G8" i="6"/>
  <c r="G9" i="6"/>
  <c r="G10" i="6"/>
  <c r="G12" i="6"/>
  <c r="G13" i="6"/>
  <c r="G14" i="6"/>
  <c r="D31" i="6"/>
  <c r="G11" i="6"/>
  <c r="E5" i="5"/>
  <c r="D31" i="4"/>
  <c r="B6" i="2"/>
  <c r="B7" i="2"/>
  <c r="B8" i="2"/>
  <c r="B9" i="2"/>
  <c r="B10" i="2"/>
  <c r="B11" i="2"/>
  <c r="B12" i="2"/>
  <c r="C5" i="2"/>
  <c r="D5" i="2"/>
  <c r="E5" i="2"/>
  <c r="C18" i="2"/>
  <c r="N45" i="2"/>
  <c r="C43" i="2"/>
  <c r="C44" i="2"/>
  <c r="L25" i="2"/>
  <c r="L24" i="2"/>
  <c r="L16" i="2"/>
  <c r="L20" i="2"/>
  <c r="I20" i="2"/>
  <c r="L19" i="2"/>
  <c r="L17" i="2"/>
  <c r="L22" i="2"/>
  <c r="I19" i="2"/>
  <c r="I22" i="2"/>
  <c r="L18" i="2"/>
  <c r="L21" i="2"/>
  <c r="I18" i="2"/>
  <c r="I21" i="2"/>
  <c r="C21" i="2"/>
  <c r="E2" i="2"/>
  <c r="G2" i="2"/>
  <c r="H2" i="2"/>
  <c r="I2" i="2"/>
  <c r="J2" i="2"/>
  <c r="K2" i="2"/>
  <c r="L2" i="2"/>
  <c r="M2" i="2"/>
  <c r="B5" i="2"/>
  <c r="C18" i="13"/>
  <c r="C21" i="13"/>
  <c r="C23" i="13"/>
  <c r="C18" i="19"/>
  <c r="C21" i="19"/>
  <c r="C23" i="19"/>
  <c r="E40" i="12"/>
  <c r="G40" i="12"/>
  <c r="E40" i="25"/>
  <c r="G40" i="25"/>
  <c r="I17" i="27"/>
  <c r="H17" i="27"/>
  <c r="J17" i="27"/>
  <c r="H28" i="27"/>
  <c r="J27" i="27"/>
  <c r="C29" i="27"/>
  <c r="C30" i="27"/>
  <c r="C31" i="27"/>
  <c r="B34" i="27"/>
  <c r="B35" i="27"/>
  <c r="C41" i="1"/>
  <c r="E35" i="27"/>
  <c r="H22" i="20"/>
  <c r="J22" i="20"/>
  <c r="H20" i="20"/>
  <c r="J20" i="20"/>
  <c r="H18" i="20"/>
  <c r="J18" i="20"/>
  <c r="H15" i="20"/>
  <c r="J15" i="20"/>
  <c r="H16" i="20"/>
  <c r="J16" i="20"/>
  <c r="H12" i="20"/>
  <c r="J12" i="20"/>
  <c r="H10" i="20"/>
  <c r="J10" i="20"/>
  <c r="H22" i="14"/>
  <c r="J22" i="14"/>
  <c r="H20" i="14"/>
  <c r="J20" i="14"/>
  <c r="H15" i="14"/>
  <c r="J15" i="14"/>
  <c r="H12" i="14"/>
  <c r="J12" i="14"/>
  <c r="H10" i="14"/>
  <c r="J10" i="14"/>
  <c r="H9" i="20"/>
  <c r="H11" i="20"/>
  <c r="J11" i="20"/>
  <c r="H13" i="20"/>
  <c r="J13" i="20"/>
  <c r="H14" i="20"/>
  <c r="J14" i="20"/>
  <c r="I17" i="20"/>
  <c r="H17" i="20"/>
  <c r="J17" i="20"/>
  <c r="H19" i="20"/>
  <c r="J19" i="20"/>
  <c r="H21" i="20"/>
  <c r="J21" i="20"/>
  <c r="H23" i="20"/>
  <c r="J23" i="20"/>
  <c r="H28" i="20"/>
  <c r="J9" i="20"/>
  <c r="J27" i="20"/>
  <c r="C29" i="20"/>
  <c r="C30" i="20"/>
  <c r="C31" i="20"/>
  <c r="B34" i="20"/>
  <c r="B35" i="20"/>
  <c r="E35" i="20"/>
  <c r="E40" i="23"/>
  <c r="J28" i="27"/>
  <c r="J29" i="27"/>
  <c r="E28" i="27"/>
  <c r="C19" i="26"/>
  <c r="C16" i="26"/>
  <c r="C15" i="26"/>
  <c r="E6" i="26"/>
  <c r="D37" i="25"/>
  <c r="K3" i="25"/>
  <c r="G40" i="23"/>
  <c r="D37" i="23"/>
  <c r="G40" i="4"/>
  <c r="K3" i="12"/>
  <c r="K3" i="18"/>
  <c r="E28" i="20"/>
  <c r="E28" i="14"/>
  <c r="K11" i="8"/>
  <c r="E28" i="8"/>
  <c r="H28" i="8"/>
  <c r="J27" i="8"/>
  <c r="C29" i="8"/>
  <c r="C30" i="8"/>
  <c r="C31" i="8"/>
  <c r="B34" i="8"/>
  <c r="B35" i="8"/>
  <c r="D37" i="4"/>
  <c r="D37" i="6"/>
  <c r="D37" i="10"/>
  <c r="D37" i="12"/>
  <c r="D37" i="16"/>
  <c r="D37" i="18"/>
  <c r="H28" i="14"/>
  <c r="J28" i="20"/>
  <c r="J29" i="20"/>
  <c r="C16" i="19"/>
  <c r="C15" i="19"/>
  <c r="E6" i="19"/>
  <c r="E40" i="16"/>
  <c r="G40" i="16"/>
  <c r="C16" i="13"/>
  <c r="C15" i="13"/>
  <c r="H9" i="14"/>
  <c r="H11" i="14"/>
  <c r="J11" i="14"/>
  <c r="H13" i="14"/>
  <c r="J13" i="14"/>
  <c r="H14" i="14"/>
  <c r="J14" i="14"/>
  <c r="I17" i="14"/>
  <c r="H17" i="14"/>
  <c r="J17" i="14"/>
  <c r="H23" i="14"/>
  <c r="J23" i="14"/>
  <c r="H16" i="14"/>
  <c r="J16" i="14"/>
  <c r="H19" i="14"/>
  <c r="J19" i="14"/>
  <c r="H21" i="14"/>
  <c r="J21" i="14"/>
  <c r="J9" i="14"/>
  <c r="J27" i="14"/>
  <c r="C29" i="14"/>
  <c r="C30" i="14"/>
  <c r="C31" i="14"/>
  <c r="B34" i="14"/>
  <c r="B35" i="14"/>
  <c r="J28" i="14"/>
  <c r="J29" i="14"/>
  <c r="E6" i="13"/>
  <c r="E40" i="10"/>
  <c r="G40" i="10"/>
  <c r="J28" i="8"/>
  <c r="J29" i="8"/>
</calcChain>
</file>

<file path=xl/sharedStrings.xml><?xml version="1.0" encoding="utf-8"?>
<sst xmlns="http://schemas.openxmlformats.org/spreadsheetml/2006/main" count="841" uniqueCount="195">
  <si>
    <r>
      <t>θ</t>
    </r>
    <r>
      <rPr>
        <vertAlign val="subscript"/>
        <sz val="11"/>
        <color theme="1"/>
        <rFont val="Times New Roman"/>
        <family val="1"/>
      </rPr>
      <t>3</t>
    </r>
    <r>
      <rPr>
        <sz val="12"/>
        <color theme="1"/>
        <rFont val="Calibri"/>
        <family val="2"/>
        <charset val="204"/>
        <scheme val="minor"/>
      </rPr>
      <t/>
    </r>
  </si>
  <si>
    <t>t</t>
  </si>
  <si>
    <r>
      <t>f</t>
    </r>
    <r>
      <rPr>
        <vertAlign val="subscript"/>
        <sz val="11"/>
        <color theme="1"/>
        <rFont val="Times New Roman"/>
        <family val="1"/>
      </rPr>
      <t xml:space="preserve">yb </t>
    </r>
    <r>
      <rPr>
        <sz val="11"/>
        <color theme="1"/>
        <rFont val="Times New Roman"/>
        <family val="1"/>
      </rPr>
      <t>(N/mm²)</t>
    </r>
  </si>
  <si>
    <t>E (N/mm²)</t>
  </si>
  <si>
    <t>Element</t>
  </si>
  <si>
    <t>θ1</t>
  </si>
  <si>
    <t>θ3</t>
  </si>
  <si>
    <t>2θ3</t>
  </si>
  <si>
    <r>
      <t>g</t>
    </r>
    <r>
      <rPr>
        <sz val="11"/>
        <color theme="1"/>
        <rFont val="Calibri"/>
        <family val="2"/>
      </rPr>
      <t>θ1</t>
    </r>
  </si>
  <si>
    <r>
      <t>g</t>
    </r>
    <r>
      <rPr>
        <sz val="11"/>
        <color theme="1"/>
        <rFont val="Calibri"/>
        <family val="2"/>
      </rPr>
      <t>θ3</t>
    </r>
  </si>
  <si>
    <r>
      <t>g2</t>
    </r>
    <r>
      <rPr>
        <sz val="11"/>
        <color theme="1"/>
        <rFont val="Calibri"/>
        <family val="2"/>
      </rPr>
      <t>θ3</t>
    </r>
  </si>
  <si>
    <t>fθ1</t>
  </si>
  <si>
    <t>fθ3</t>
  </si>
  <si>
    <t>f2θ3</t>
  </si>
  <si>
    <t>bpt</t>
  </si>
  <si>
    <t>bpb</t>
  </si>
  <si>
    <t>sw</t>
  </si>
  <si>
    <t>bflt</t>
  </si>
  <si>
    <t>bflb</t>
  </si>
  <si>
    <t>sflw</t>
  </si>
  <si>
    <t>lcθ1</t>
  </si>
  <si>
    <t>lcθ3</t>
  </si>
  <si>
    <t>lc2θ3</t>
  </si>
  <si>
    <t>Ccθ1</t>
  </si>
  <si>
    <t>Ccθ3</t>
  </si>
  <si>
    <t>Cc2θ3</t>
  </si>
  <si>
    <r>
      <t>l</t>
    </r>
    <r>
      <rPr>
        <vertAlign val="subscript"/>
        <sz val="11"/>
        <color theme="1"/>
        <rFont val="Times New Roman"/>
        <family val="1"/>
      </rPr>
      <t>i</t>
    </r>
  </si>
  <si>
    <t>lz</t>
  </si>
  <si>
    <t>ly</t>
  </si>
  <si>
    <r>
      <t>A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(mm²)</t>
    </r>
  </si>
  <si>
    <t>z(mm)</t>
  </si>
  <si>
    <r>
      <t>S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</si>
  <si>
    <t>z0(mm)</t>
  </si>
  <si>
    <t>h</t>
  </si>
  <si>
    <r>
      <t>I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)</t>
    </r>
  </si>
  <si>
    <t>arrondi</t>
  </si>
  <si>
    <r>
      <t>b</t>
    </r>
    <r>
      <rPr>
        <vertAlign val="subscript"/>
        <sz val="11"/>
        <color theme="1"/>
        <rFont val="Times New Roman"/>
        <family val="1"/>
      </rPr>
      <t>p</t>
    </r>
  </si>
  <si>
    <t>k</t>
  </si>
  <si>
    <r>
      <rPr>
        <sz val="11"/>
        <color theme="1"/>
        <rFont val="Times New Roman"/>
        <family val="1"/>
      </rPr>
      <t>ψ</t>
    </r>
    <r>
      <rPr>
        <sz val="11"/>
        <color theme="1"/>
        <rFont val="Calibri"/>
        <family val="2"/>
      </rPr>
      <t>=</t>
    </r>
    <r>
      <rPr>
        <sz val="11"/>
        <color theme="1"/>
        <rFont val="Times New Roman"/>
        <family val="1"/>
      </rPr>
      <t>σ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/σ</t>
    </r>
    <r>
      <rPr>
        <vertAlign val="subscript"/>
        <sz val="11"/>
        <color theme="1"/>
        <rFont val="Times New Roman"/>
        <family val="1"/>
      </rPr>
      <t>1</t>
    </r>
  </si>
  <si>
    <t>ε</t>
  </si>
  <si>
    <r>
      <t>λ</t>
    </r>
    <r>
      <rPr>
        <vertAlign val="subscript"/>
        <sz val="11"/>
        <color theme="1"/>
        <rFont val="Times New Roman"/>
        <family val="1"/>
      </rPr>
      <t>p</t>
    </r>
  </si>
  <si>
    <r>
      <t>σ</t>
    </r>
    <r>
      <rPr>
        <vertAlign val="subscript"/>
        <sz val="11"/>
        <color rgb="FFFF0000"/>
        <rFont val="Times New Roman"/>
        <family val="1"/>
      </rPr>
      <t>com</t>
    </r>
  </si>
  <si>
    <r>
      <rPr>
        <sz val="11"/>
        <rFont val="Calibri"/>
        <family val="2"/>
      </rPr>
      <t>γ</t>
    </r>
    <r>
      <rPr>
        <vertAlign val="subscript"/>
        <sz val="11"/>
        <rFont val="Times New Roman"/>
        <family val="1"/>
      </rPr>
      <t>M0</t>
    </r>
  </si>
  <si>
    <r>
      <t>λ</t>
    </r>
    <r>
      <rPr>
        <vertAlign val="subscript"/>
        <sz val="11"/>
        <color theme="1"/>
        <rFont val="Times New Roman"/>
        <family val="1"/>
      </rPr>
      <t>pred</t>
    </r>
  </si>
  <si>
    <t>ρ</t>
  </si>
  <si>
    <r>
      <t>b</t>
    </r>
    <r>
      <rPr>
        <vertAlign val="sub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=ρ*b</t>
    </r>
    <r>
      <rPr>
        <vertAlign val="subscript"/>
        <sz val="11"/>
        <color theme="1"/>
        <rFont val="Times New Roman"/>
        <family val="1"/>
      </rPr>
      <t>p</t>
    </r>
  </si>
  <si>
    <t>be1=be2</t>
  </si>
  <si>
    <r>
      <t>b</t>
    </r>
    <r>
      <rPr>
        <vertAlign val="subscript"/>
        <sz val="11"/>
        <color theme="1"/>
        <rFont val="Times New Roman"/>
        <family val="1"/>
      </rPr>
      <t>s</t>
    </r>
  </si>
  <si>
    <t>Elément</t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</si>
  <si>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</si>
  <si>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t>1/2 (1eff)</t>
  </si>
  <si>
    <t>1/2 (7eff)</t>
  </si>
  <si>
    <t>total</t>
  </si>
  <si>
    <r>
      <t>b</t>
    </r>
    <r>
      <rPr>
        <vertAlign val="subscript"/>
        <sz val="11"/>
        <color theme="1"/>
        <rFont val="Times New Roman"/>
        <family val="1"/>
      </rPr>
      <t>d</t>
    </r>
  </si>
  <si>
    <r>
      <t>h</t>
    </r>
    <r>
      <rPr>
        <vertAlign val="subscript"/>
        <sz val="11"/>
        <color theme="1"/>
        <rFont val="Times New Roman"/>
        <family val="1"/>
      </rPr>
      <t>w</t>
    </r>
  </si>
  <si>
    <r>
      <t>s</t>
    </r>
    <r>
      <rPr>
        <vertAlign val="subscript"/>
        <sz val="11"/>
        <color theme="1"/>
        <rFont val="Times New Roman"/>
        <family val="1"/>
      </rPr>
      <t>w</t>
    </r>
  </si>
  <si>
    <r>
      <t>l</t>
    </r>
    <r>
      <rPr>
        <vertAlign val="subscript"/>
        <sz val="11"/>
        <color theme="1"/>
        <rFont val="Times New Roman"/>
        <family val="1"/>
      </rPr>
      <t>b</t>
    </r>
  </si>
  <si>
    <r>
      <t>l</t>
    </r>
    <r>
      <rPr>
        <vertAlign val="sub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/s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&gt;2</t>
    </r>
  </si>
  <si>
    <r>
      <t>k</t>
    </r>
    <r>
      <rPr>
        <vertAlign val="subscript"/>
        <sz val="11"/>
        <color theme="1"/>
        <rFont val="Times New Roman"/>
        <family val="1"/>
      </rPr>
      <t>w0</t>
    </r>
  </si>
  <si>
    <r>
      <t>k</t>
    </r>
    <r>
      <rPr>
        <vertAlign val="subscript"/>
        <sz val="11"/>
        <color theme="1"/>
        <rFont val="Times New Roman"/>
        <family val="1"/>
      </rPr>
      <t>w</t>
    </r>
  </si>
  <si>
    <r>
      <t>σ</t>
    </r>
    <r>
      <rPr>
        <vertAlign val="subscript"/>
        <sz val="11"/>
        <color theme="1"/>
        <rFont val="Times New Roman"/>
        <family val="1"/>
      </rPr>
      <t>cr,s</t>
    </r>
    <r>
      <rPr>
        <sz val="11"/>
        <color theme="1"/>
        <rFont val="Times New Roman"/>
        <family val="1"/>
      </rPr>
      <t>(N/mm²)</t>
    </r>
  </si>
  <si>
    <t>λ</t>
  </si>
  <si>
    <t>λ&lt;0,65</t>
  </si>
  <si>
    <t>λ&gt;1,38</t>
  </si>
  <si>
    <t>χ</t>
  </si>
  <si>
    <r>
      <t>t</t>
    </r>
    <r>
      <rPr>
        <vertAlign val="subscript"/>
        <sz val="11"/>
        <color theme="1"/>
        <rFont val="Times New Roman"/>
        <family val="1"/>
      </rPr>
      <t>réd</t>
    </r>
  </si>
  <si>
    <t>fyb/γM0/σcom</t>
  </si>
  <si>
    <t>interior side</t>
  </si>
  <si>
    <t>ec</t>
  </si>
  <si>
    <r>
      <t>s</t>
    </r>
    <r>
      <rPr>
        <vertAlign val="subscript"/>
        <sz val="11"/>
        <color theme="1"/>
        <rFont val="Times New Roman"/>
        <family val="1"/>
      </rPr>
      <t>n</t>
    </r>
  </si>
  <si>
    <r>
      <t>s</t>
    </r>
    <r>
      <rPr>
        <vertAlign val="subscript"/>
        <sz val="11"/>
        <color theme="1"/>
        <rFont val="Times New Roman"/>
        <family val="1"/>
      </rPr>
      <t>eff,0</t>
    </r>
  </si>
  <si>
    <r>
      <t>s</t>
    </r>
    <r>
      <rPr>
        <vertAlign val="subscript"/>
        <sz val="11"/>
        <color theme="1"/>
        <rFont val="Times New Roman"/>
        <family val="1"/>
      </rPr>
      <t>eff,1</t>
    </r>
  </si>
  <si>
    <r>
      <t>s</t>
    </r>
    <r>
      <rPr>
        <vertAlign val="subscript"/>
        <sz val="11"/>
        <color theme="1"/>
        <rFont val="Times New Roman"/>
        <family val="1"/>
      </rPr>
      <t>eff,n</t>
    </r>
  </si>
  <si>
    <r>
      <t>s</t>
    </r>
    <r>
      <rPr>
        <vertAlign val="subscript"/>
        <sz val="11"/>
        <color theme="1"/>
        <rFont val="Times New Roman"/>
        <family val="1"/>
      </rPr>
      <t>eff,1</t>
    </r>
    <r>
      <rPr>
        <sz val="11"/>
        <color theme="1"/>
        <rFont val="Times New Roman"/>
        <family val="1"/>
      </rPr>
      <t xml:space="preserve"> + s</t>
    </r>
    <r>
      <rPr>
        <vertAlign val="subscript"/>
        <sz val="11"/>
        <color theme="1"/>
        <rFont val="Times New Roman"/>
        <family val="1"/>
      </rPr>
      <t>eff,n</t>
    </r>
  </si>
  <si>
    <t>&gt;sn</t>
  </si>
  <si>
    <t>7eff</t>
  </si>
  <si>
    <r>
      <t>t</t>
    </r>
    <r>
      <rPr>
        <vertAlign val="subscript"/>
        <sz val="11"/>
        <color theme="1"/>
        <rFont val="Times New Roman"/>
        <family val="1"/>
      </rPr>
      <t>eff</t>
    </r>
  </si>
  <si>
    <t>1/2 onde</t>
  </si>
  <si>
    <t>onde</t>
  </si>
  <si>
    <t>mm^3</t>
  </si>
  <si>
    <t>w</t>
  </si>
  <si>
    <t>mm3/mm</t>
  </si>
  <si>
    <t>M</t>
  </si>
  <si>
    <t>Nmm/mm</t>
  </si>
  <si>
    <t>kNm/m</t>
  </si>
  <si>
    <t>b/t=</t>
  </si>
  <si>
    <t>h/t=</t>
  </si>
  <si>
    <t>500sin(θ2)=</t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</si>
  <si>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=</t>
    </r>
  </si>
  <si>
    <t>r &lt;</t>
  </si>
  <si>
    <r>
      <t xml:space="preserve">0,04 </t>
    </r>
    <r>
      <rPr>
        <i/>
        <sz val="12"/>
        <color theme="1"/>
        <rFont val="Times New Roman"/>
      </rPr>
      <t>t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E</t>
    </r>
    <r>
      <rPr>
        <sz val="12"/>
        <color theme="1"/>
        <rFont val="Times New Roman"/>
      </rPr>
      <t xml:space="preserve"> / </t>
    </r>
    <r>
      <rPr>
        <i/>
        <sz val="12"/>
        <color theme="1"/>
        <rFont val="Times New Roman"/>
      </rPr>
      <t>f</t>
    </r>
    <r>
      <rPr>
        <vertAlign val="subscript"/>
        <sz val="12"/>
        <color theme="1"/>
        <rFont val="Times New Roman"/>
      </rPr>
      <t xml:space="preserve">y </t>
    </r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</si>
  <si>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2"/>
        <color theme="1"/>
        <rFont val="Calibri"/>
        <family val="2"/>
        <charset val="204"/>
        <scheme val="minor"/>
      </rPr>
      <t/>
    </r>
  </si>
  <si>
    <r>
      <t>r</t>
    </r>
    <r>
      <rPr>
        <vertAlign val="subscript"/>
        <sz val="11"/>
        <color theme="1"/>
        <rFont val="Times New Roman"/>
        <family val="1"/>
      </rPr>
      <t>i</t>
    </r>
  </si>
  <si>
    <t>f</t>
  </si>
  <si>
    <t>r/t&lt;10</t>
  </si>
  <si>
    <t>hw/t &lt;</t>
  </si>
  <si>
    <r>
      <t>200*sin</t>
    </r>
    <r>
      <rPr>
        <sz val="11"/>
        <color theme="1"/>
        <rFont val="Calibri"/>
        <family val="2"/>
      </rPr>
      <t>Ф</t>
    </r>
  </si>
  <si>
    <t>c &lt;</t>
  </si>
  <si>
    <r>
      <t>1,5 h</t>
    </r>
    <r>
      <rPr>
        <vertAlign val="subscript"/>
        <sz val="11"/>
        <color theme="1"/>
        <rFont val="Times New Roman"/>
        <family val="1"/>
      </rPr>
      <t>W</t>
    </r>
  </si>
  <si>
    <t>/ame</t>
  </si>
  <si>
    <r>
      <t>l</t>
    </r>
    <r>
      <rPr>
        <vertAlign val="subscript"/>
        <sz val="11"/>
        <color theme="1"/>
        <rFont val="Times New Roman"/>
        <family val="1"/>
      </rPr>
      <t>a</t>
    </r>
  </si>
  <si>
    <t>α</t>
  </si>
  <si>
    <r>
      <rPr>
        <sz val="11"/>
        <color theme="1"/>
        <rFont val="Calibri"/>
        <family val="2"/>
      </rPr>
      <t>γ</t>
    </r>
    <r>
      <rPr>
        <vertAlign val="subscript"/>
        <sz val="11"/>
        <color theme="1"/>
        <rFont val="Times New Roman"/>
        <family val="1"/>
      </rPr>
      <t>M1</t>
    </r>
  </si>
  <si>
    <r>
      <t>R</t>
    </r>
    <r>
      <rPr>
        <vertAlign val="subscript"/>
        <sz val="11"/>
        <color theme="1"/>
        <rFont val="Times New Roman"/>
        <family val="1"/>
      </rPr>
      <t>w,Rd(</t>
    </r>
    <r>
      <rPr>
        <sz val="11"/>
        <color theme="1"/>
        <rFont val="Times New Roman"/>
        <family val="1"/>
      </rPr>
      <t>âme non raidie)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</si>
  <si>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</si>
  <si>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 (kN/m)</t>
    </r>
  </si>
  <si>
    <t>Appui d'extrémité</t>
  </si>
  <si>
    <t>Appui inermédiaire</t>
  </si>
  <si>
    <t>&gt;</t>
  </si>
  <si>
    <t>donc pas de raidsseur comprimé</t>
  </si>
  <si>
    <t>bd</t>
  </si>
  <si>
    <r>
      <t>e</t>
    </r>
    <r>
      <rPr>
        <vertAlign val="subscript"/>
        <sz val="11"/>
        <rFont val="Times New Roman"/>
        <family val="1"/>
      </rPr>
      <t>max</t>
    </r>
  </si>
  <si>
    <r>
      <t>e</t>
    </r>
    <r>
      <rPr>
        <vertAlign val="subscript"/>
        <sz val="11"/>
        <rFont val="Times New Roman"/>
        <family val="1"/>
      </rPr>
      <t>min</t>
    </r>
  </si>
  <si>
    <r>
      <rPr>
        <sz val="11"/>
        <rFont val="Calibri"/>
        <family val="2"/>
      </rPr>
      <t>κ</t>
    </r>
    <r>
      <rPr>
        <vertAlign val="subscript"/>
        <sz val="11"/>
        <rFont val="Times New Roman"/>
        <family val="1"/>
      </rPr>
      <t>a,s</t>
    </r>
  </si>
  <si>
    <r>
      <t>R</t>
    </r>
    <r>
      <rPr>
        <vertAlign val="subscript"/>
        <sz val="11"/>
        <rFont val="Times New Roman"/>
        <family val="1"/>
      </rPr>
      <t xml:space="preserve">w,Rd </t>
    </r>
    <r>
      <rPr>
        <sz val="11"/>
        <rFont val="Times New Roman"/>
      </rPr>
      <t>(N)</t>
    </r>
  </si>
  <si>
    <t>sper</t>
  </si>
  <si>
    <t>FILL RED CELLS</t>
  </si>
  <si>
    <t>1) DATA</t>
  </si>
  <si>
    <t>2) Checking of geometrical proportions</t>
  </si>
  <si>
    <r>
      <t>M</t>
    </r>
    <r>
      <rPr>
        <b/>
        <vertAlign val="subscript"/>
        <sz val="14"/>
        <color theme="1"/>
        <rFont val="Calibri"/>
        <scheme val="minor"/>
      </rPr>
      <t>span</t>
    </r>
    <r>
      <rPr>
        <b/>
        <sz val="14"/>
        <color theme="1"/>
        <rFont val="Calibri"/>
        <scheme val="minor"/>
      </rPr>
      <t>=</t>
    </r>
  </si>
  <si>
    <r>
      <t>R</t>
    </r>
    <r>
      <rPr>
        <b/>
        <vertAlign val="subscript"/>
        <sz val="14"/>
        <color theme="1"/>
        <rFont val="Calibri"/>
        <scheme val="minor"/>
      </rPr>
      <t>endsupport</t>
    </r>
    <r>
      <rPr>
        <b/>
        <sz val="14"/>
        <color theme="1"/>
        <rFont val="Calibri"/>
        <scheme val="minor"/>
      </rPr>
      <t>=</t>
    </r>
  </si>
  <si>
    <t>kN/m</t>
  </si>
  <si>
    <t>R1 (mm)</t>
  </si>
  <si>
    <r>
      <t>R2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</si>
  <si>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</si>
  <si>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R3 (mm)</t>
  </si>
  <si>
    <t>Pitch (mm)</t>
  </si>
  <si>
    <t>d (mm)</t>
  </si>
  <si>
    <r>
      <t>g</t>
    </r>
    <r>
      <rPr>
        <sz val="11"/>
        <color theme="1"/>
        <rFont val="Calibri"/>
        <family val="2"/>
      </rPr>
      <t>θ2sup</t>
    </r>
  </si>
  <si>
    <t>fθ2sup</t>
  </si>
  <si>
    <r>
      <t>g</t>
    </r>
    <r>
      <rPr>
        <sz val="11"/>
        <color theme="1"/>
        <rFont val="Calibri"/>
        <family val="2"/>
      </rPr>
      <t>θ2inf</t>
    </r>
  </si>
  <si>
    <t>fθ2inf</t>
  </si>
  <si>
    <t>lcθ2inf</t>
  </si>
  <si>
    <t>Ccθ2inf</t>
  </si>
  <si>
    <t>lcθ2sup</t>
  </si>
  <si>
    <t>Ccθ2sup</t>
  </si>
  <si>
    <r>
      <t>h</t>
    </r>
    <r>
      <rPr>
        <vertAlign val="subscript"/>
        <sz val="11"/>
        <color theme="1"/>
        <rFont val="Times New Roman"/>
        <family val="1"/>
      </rPr>
      <t xml:space="preserve">w </t>
    </r>
    <r>
      <rPr>
        <sz val="11"/>
        <color theme="1"/>
        <rFont val="Times New Roman"/>
        <family val="1"/>
      </rPr>
      <t>(mm)</t>
    </r>
  </si>
  <si>
    <r>
      <t>s</t>
    </r>
    <r>
      <rPr>
        <vertAlign val="subscript"/>
        <sz val="11"/>
        <color theme="1"/>
        <rFont val="Times New Roman"/>
        <family val="1"/>
      </rPr>
      <t xml:space="preserve">per </t>
    </r>
    <r>
      <rPr>
        <sz val="11"/>
        <color theme="1"/>
        <rFont val="Times New Roman"/>
        <family val="1"/>
      </rPr>
      <t>(mm)</t>
    </r>
  </si>
  <si>
    <r>
      <t>(s</t>
    </r>
    <r>
      <rPr>
        <vertAlign val="subscript"/>
        <sz val="11"/>
        <color theme="1"/>
        <rFont val="Times New Roman"/>
        <family val="1"/>
      </rPr>
      <t>per</t>
    </r>
    <r>
      <rPr>
        <sz val="11"/>
        <color theme="1"/>
        <rFont val="Times New Roman"/>
        <family val="1"/>
      </rPr>
      <t xml:space="preserve"> is the slant height of the perforated portion of the web)</t>
    </r>
  </si>
  <si>
    <r>
      <t>t</t>
    </r>
    <r>
      <rPr>
        <sz val="11"/>
        <color theme="1"/>
        <rFont val="Times New Roman"/>
        <family val="1"/>
      </rPr>
      <t xml:space="preserve"> (mm)</t>
    </r>
  </si>
  <si>
    <r>
      <t>t</t>
    </r>
    <r>
      <rPr>
        <vertAlign val="subscript"/>
        <sz val="11"/>
        <color theme="1"/>
        <rFont val="Times New Roman"/>
        <family val="1"/>
      </rPr>
      <t>nom</t>
    </r>
    <r>
      <rPr>
        <sz val="11"/>
        <color theme="1"/>
        <rFont val="Times New Roman"/>
        <family val="1"/>
      </rPr>
      <t xml:space="preserve"> (mm)</t>
    </r>
  </si>
  <si>
    <r>
      <t>θ</t>
    </r>
    <r>
      <rPr>
        <vertAlign val="subscript"/>
        <sz val="11"/>
        <rFont val="Times New Roman"/>
        <family val="1"/>
      </rPr>
      <t xml:space="preserve">1 </t>
    </r>
    <r>
      <rPr>
        <sz val="11"/>
        <rFont val="Times New Roman"/>
      </rPr>
      <t>(rad)</t>
    </r>
  </si>
  <si>
    <r>
      <t>θ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</rPr>
      <t xml:space="preserve"> (rad)</t>
    </r>
  </si>
  <si>
    <r>
      <t>θ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</rPr>
      <t xml:space="preserve"> (rad)</t>
    </r>
  </si>
  <si>
    <t>b=</t>
  </si>
  <si>
    <r>
      <t>d</t>
    </r>
    <r>
      <rPr>
        <vertAlign val="subscript"/>
        <sz val="11"/>
        <color theme="1"/>
        <rFont val="Times New Roman"/>
        <family val="1"/>
      </rPr>
      <t>s</t>
    </r>
    <r>
      <rPr>
        <sz val="11"/>
        <color theme="1"/>
        <rFont val="Times New Roman"/>
        <family val="1"/>
      </rPr>
      <t xml:space="preserve"> (mm)</t>
    </r>
  </si>
  <si>
    <r>
      <t>h</t>
    </r>
    <r>
      <rPr>
        <vertAlign val="subscript"/>
        <sz val="11"/>
        <color theme="1"/>
        <rFont val="Times New Roman"/>
        <family val="1"/>
      </rPr>
      <t xml:space="preserve">a </t>
    </r>
    <r>
      <rPr>
        <sz val="11"/>
        <color theme="1"/>
        <rFont val="Times New Roman"/>
        <family val="1"/>
      </rPr>
      <t>(mm)</t>
    </r>
  </si>
  <si>
    <r>
      <t>h</t>
    </r>
    <r>
      <rPr>
        <vertAlign val="subscript"/>
        <sz val="11"/>
        <color theme="1"/>
        <rFont val="Times New Roman"/>
        <family val="1"/>
      </rPr>
      <t xml:space="preserve">sa </t>
    </r>
    <r>
      <rPr>
        <sz val="11"/>
        <color theme="1"/>
        <rFont val="Times New Roman"/>
        <family val="1"/>
      </rPr>
      <t>(mm)</t>
    </r>
  </si>
  <si>
    <t>θ2</t>
  </si>
  <si>
    <r>
      <t>b</t>
    </r>
    <r>
      <rPr>
        <vertAlign val="subscript"/>
        <sz val="11"/>
        <rFont val="Times New Roman"/>
        <family val="1"/>
      </rPr>
      <t xml:space="preserve">pi </t>
    </r>
    <r>
      <rPr>
        <sz val="11"/>
        <rFont val="Times New Roman"/>
      </rPr>
      <t>(mm)</t>
    </r>
  </si>
  <si>
    <t>3) RESULTS</t>
  </si>
  <si>
    <r>
      <t>h</t>
    </r>
    <r>
      <rPr>
        <strike/>
        <vertAlign val="subscript"/>
        <sz val="11"/>
        <color theme="1"/>
        <rFont val="Times New Roman"/>
        <family val="1"/>
      </rPr>
      <t>a</t>
    </r>
  </si>
  <si>
    <r>
      <t>s</t>
    </r>
    <r>
      <rPr>
        <strike/>
        <vertAlign val="subscript"/>
        <sz val="11"/>
        <color theme="1"/>
        <rFont val="Times New Roman"/>
        <family val="1"/>
      </rPr>
      <t>eff,2</t>
    </r>
  </si>
  <si>
    <r>
      <t>h</t>
    </r>
    <r>
      <rPr>
        <strike/>
        <vertAlign val="subscript"/>
        <sz val="11"/>
        <color theme="1"/>
        <rFont val="Times New Roman"/>
        <family val="1"/>
      </rPr>
      <t>sa</t>
    </r>
  </si>
  <si>
    <r>
      <t>s</t>
    </r>
    <r>
      <rPr>
        <strike/>
        <vertAlign val="subscript"/>
        <sz val="11"/>
        <color theme="1"/>
        <rFont val="Times New Roman"/>
        <family val="1"/>
      </rPr>
      <t>eff,3</t>
    </r>
  </si>
  <si>
    <r>
      <t>s</t>
    </r>
    <r>
      <rPr>
        <strike/>
        <vertAlign val="subscript"/>
        <sz val="11"/>
        <color theme="1"/>
        <rFont val="Times New Roman"/>
        <family val="1"/>
      </rPr>
      <t>eff,n</t>
    </r>
  </si>
  <si>
    <r>
      <t>s</t>
    </r>
    <r>
      <rPr>
        <strike/>
        <vertAlign val="subscript"/>
        <sz val="11"/>
        <color theme="1"/>
        <rFont val="Times New Roman"/>
        <family val="1"/>
      </rPr>
      <t>n</t>
    </r>
  </si>
  <si>
    <r>
      <t>s</t>
    </r>
    <r>
      <rPr>
        <strike/>
        <vertAlign val="subscript"/>
        <sz val="11"/>
        <color theme="1"/>
        <rFont val="Times New Roman"/>
        <family val="1"/>
      </rPr>
      <t>eff,3</t>
    </r>
    <r>
      <rPr>
        <strike/>
        <sz val="11"/>
        <color theme="1"/>
        <rFont val="Times New Roman"/>
        <family val="1"/>
      </rPr>
      <t xml:space="preserve"> + s</t>
    </r>
    <r>
      <rPr>
        <strike/>
        <vertAlign val="subscript"/>
        <sz val="11"/>
        <color theme="1"/>
        <rFont val="Times New Roman"/>
        <family val="1"/>
      </rPr>
      <t>eff,n</t>
    </r>
  </si>
  <si>
    <r>
      <t>f (</t>
    </r>
    <r>
      <rPr>
        <sz val="11"/>
        <color theme="1"/>
        <rFont val="Times New Roman"/>
        <family val="1"/>
      </rPr>
      <t>rad</t>
    </r>
    <r>
      <rPr>
        <sz val="11"/>
        <color theme="1"/>
        <rFont val="Symbol"/>
        <family val="1"/>
        <charset val="2"/>
      </rPr>
      <t>)</t>
    </r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</si>
  <si>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</si>
  <si>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r>
      <t>Corner 1</t>
    </r>
    <r>
      <rPr>
        <vertAlign val="subscript"/>
        <sz val="11"/>
        <color theme="1"/>
        <rFont val="Times New Roman"/>
        <family val="1"/>
      </rPr>
      <t>sup</t>
    </r>
  </si>
  <si>
    <r>
      <t>Corner 1</t>
    </r>
    <r>
      <rPr>
        <vertAlign val="subscript"/>
        <sz val="11"/>
        <color theme="1"/>
        <rFont val="Times New Roman"/>
        <family val="1"/>
      </rPr>
      <t>inf</t>
    </r>
  </si>
  <si>
    <r>
      <t>Corner 2</t>
    </r>
    <r>
      <rPr>
        <vertAlign val="subscript"/>
        <sz val="11"/>
        <color theme="1"/>
        <rFont val="Times New Roman"/>
        <family val="1"/>
      </rPr>
      <t>sup</t>
    </r>
  </si>
  <si>
    <r>
      <t>Corner 2</t>
    </r>
    <r>
      <rPr>
        <vertAlign val="subscript"/>
        <sz val="11"/>
        <color theme="1"/>
        <rFont val="Times New Roman"/>
        <family val="1"/>
      </rPr>
      <t>inf</t>
    </r>
  </si>
  <si>
    <t>TOTAL</t>
  </si>
  <si>
    <r>
      <t>Corner 3</t>
    </r>
    <r>
      <rPr>
        <vertAlign val="subscript"/>
        <sz val="11"/>
        <color theme="1"/>
        <rFont val="Times New Roman"/>
        <family val="1"/>
      </rPr>
      <t>sup</t>
    </r>
  </si>
  <si>
    <r>
      <t>Corner 3</t>
    </r>
    <r>
      <rPr>
        <vertAlign val="subscript"/>
        <sz val="11"/>
        <color theme="1"/>
        <rFont val="Times New Roman"/>
        <family val="1"/>
      </rPr>
      <t>inf</t>
    </r>
  </si>
  <si>
    <t>a (mm)</t>
  </si>
  <si>
    <t xml:space="preserve">plane part </t>
  </si>
  <si>
    <r>
      <t>t</t>
    </r>
    <r>
      <rPr>
        <vertAlign val="subscript"/>
        <sz val="11"/>
        <color theme="1"/>
        <rFont val="Times New Roman"/>
        <family val="1"/>
      </rPr>
      <t xml:space="preserve">eff </t>
    </r>
    <r>
      <rPr>
        <sz val="11"/>
        <color theme="1"/>
        <rFont val="Times New Roman"/>
        <family val="1"/>
      </rPr>
      <t>(mm)</t>
    </r>
  </si>
  <si>
    <t>2nd step</t>
  </si>
  <si>
    <t>3rd step</t>
  </si>
  <si>
    <t>4th step</t>
  </si>
  <si>
    <t>Upper flange</t>
  </si>
  <si>
    <r>
      <t>s</t>
    </r>
    <r>
      <rPr>
        <vertAlign val="subscript"/>
        <sz val="12"/>
        <color theme="1"/>
        <rFont val="Calibri"/>
        <family val="2"/>
        <scheme val="minor"/>
      </rPr>
      <t xml:space="preserve"> com</t>
    </r>
    <r>
      <rPr>
        <sz val="12"/>
        <color theme="1"/>
        <rFont val="Calibri"/>
        <family val="2"/>
        <charset val="204"/>
        <scheme val="minor"/>
      </rPr>
      <t xml:space="preserve"> </t>
    </r>
  </si>
  <si>
    <t xml:space="preserve">ρ </t>
  </si>
  <si>
    <r>
      <t xml:space="preserve">0,5 b </t>
    </r>
    <r>
      <rPr>
        <vertAlign val="subscript"/>
        <sz val="10"/>
        <color rgb="FF000000"/>
        <rFont val="Verdana"/>
        <family val="2"/>
      </rPr>
      <t xml:space="preserve">1,eff </t>
    </r>
  </si>
  <si>
    <t>Upper flange stiffener</t>
  </si>
  <si>
    <r>
      <t>s</t>
    </r>
    <r>
      <rPr>
        <vertAlign val="subscript"/>
        <sz val="11"/>
        <color theme="1"/>
        <rFont val="Calibri"/>
        <family val="2"/>
        <scheme val="minor"/>
      </rPr>
      <t>cr,s</t>
    </r>
    <r>
      <rPr>
        <sz val="12"/>
        <color theme="1"/>
        <rFont val="Calibri"/>
        <family val="2"/>
        <charset val="204"/>
        <scheme val="minor"/>
      </rPr>
      <t xml:space="preserve">  </t>
    </r>
  </si>
  <si>
    <r>
      <t>c</t>
    </r>
    <r>
      <rPr>
        <i/>
        <sz val="11"/>
        <color theme="1"/>
        <rFont val="Calibri"/>
        <scheme val="minor"/>
      </rPr>
      <t xml:space="preserve"> </t>
    </r>
    <r>
      <rPr>
        <vertAlign val="subscript"/>
        <sz val="11"/>
        <color theme="1"/>
        <rFont val="Calibri"/>
        <family val="2"/>
        <scheme val="minor"/>
      </rPr>
      <t xml:space="preserve">d </t>
    </r>
  </si>
  <si>
    <r>
      <t>t</t>
    </r>
    <r>
      <rPr>
        <vertAlign val="subscript"/>
        <sz val="10"/>
        <color theme="1"/>
        <rFont val="Verdana"/>
        <family val="2"/>
      </rPr>
      <t>red</t>
    </r>
  </si>
  <si>
    <t>Web</t>
  </si>
  <si>
    <r>
      <t>e</t>
    </r>
    <r>
      <rPr>
        <vertAlign val="subscript"/>
        <sz val="10"/>
        <color rgb="FF444444"/>
        <rFont val="Verdana"/>
        <family val="2"/>
      </rPr>
      <t>c</t>
    </r>
  </si>
  <si>
    <r>
      <t>s</t>
    </r>
    <r>
      <rPr>
        <vertAlign val="subscript"/>
        <sz val="10"/>
        <color rgb="FF444444"/>
        <rFont val="Verdana"/>
        <family val="2"/>
      </rPr>
      <t>n</t>
    </r>
  </si>
  <si>
    <r>
      <t>s</t>
    </r>
    <r>
      <rPr>
        <vertAlign val="subscript"/>
        <sz val="10"/>
        <color theme="1"/>
        <rFont val="Verdana"/>
        <family val="2"/>
      </rPr>
      <t>eff,0</t>
    </r>
    <r>
      <rPr>
        <sz val="10"/>
        <color theme="1"/>
        <rFont val="Verdana"/>
        <family val="2"/>
      </rPr>
      <t xml:space="preserve"> </t>
    </r>
  </si>
  <si>
    <r>
      <t>s</t>
    </r>
    <r>
      <rPr>
        <vertAlign val="subscript"/>
        <sz val="10"/>
        <color theme="1"/>
        <rFont val="Verdana"/>
        <family val="2"/>
      </rPr>
      <t xml:space="preserve">eff,1 </t>
    </r>
  </si>
  <si>
    <r>
      <t>s</t>
    </r>
    <r>
      <rPr>
        <vertAlign val="subscript"/>
        <sz val="10"/>
        <color theme="1"/>
        <rFont val="Verdana"/>
        <family val="2"/>
      </rPr>
      <t>eff,n</t>
    </r>
  </si>
  <si>
    <r>
      <t>s</t>
    </r>
    <r>
      <rPr>
        <vertAlign val="subscript"/>
        <sz val="10"/>
        <color theme="1"/>
        <rFont val="Verdana"/>
        <family val="2"/>
      </rPr>
      <t xml:space="preserve">eff,1 + Seff,n </t>
    </r>
  </si>
  <si>
    <t>entire web is effective</t>
  </si>
  <si>
    <t>0,4sn</t>
  </si>
  <si>
    <t>0,6sn</t>
  </si>
  <si>
    <t>Total effective Area</t>
  </si>
  <si>
    <r>
      <t xml:space="preserve">A </t>
    </r>
    <r>
      <rPr>
        <vertAlign val="subscript"/>
        <sz val="10"/>
        <color rgb="FF444444"/>
        <rFont val="Verdana"/>
        <family val="2"/>
      </rPr>
      <t>eff</t>
    </r>
    <r>
      <rPr>
        <sz val="10"/>
        <color rgb="FF444444"/>
        <rFont val="Verdana"/>
        <family val="2"/>
      </rPr>
      <t xml:space="preserve"> </t>
    </r>
  </si>
  <si>
    <t>Position of neutral axis</t>
  </si>
  <si>
    <r>
      <t>z</t>
    </r>
    <r>
      <rPr>
        <vertAlign val="subscript"/>
        <sz val="10"/>
        <color rgb="FF000000"/>
        <rFont val="Verdana"/>
        <family val="2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</si>
</sst>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0000"/>
    <numFmt numFmtId="167" formatCode="0.0"/>
  </numFmts>
  <fonts count="49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name val="Times New Roman"/>
    </font>
    <font>
      <sz val="11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bscript"/>
      <sz val="1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theme="1"/>
      <name val="Times New Roman"/>
    </font>
    <font>
      <vertAlign val="subscript"/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scheme val="minor"/>
    </font>
    <font>
      <i/>
      <sz val="12"/>
      <color theme="1"/>
      <name val="Times New Roman"/>
    </font>
    <font>
      <vertAlign val="subscript"/>
      <sz val="12"/>
      <color theme="1"/>
      <name val="Times New Roman"/>
    </font>
    <font>
      <sz val="11"/>
      <color theme="1"/>
      <name val="Symbol"/>
      <family val="1"/>
      <charset val="2"/>
    </font>
    <font>
      <u/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name val="Calibri"/>
      <scheme val="minor"/>
    </font>
    <font>
      <b/>
      <sz val="16"/>
      <color rgb="FFFF0000"/>
      <name val="Calibri"/>
      <scheme val="minor"/>
    </font>
    <font>
      <b/>
      <sz val="14"/>
      <color theme="1"/>
      <name val="Calibri"/>
      <scheme val="minor"/>
    </font>
    <font>
      <b/>
      <vertAlign val="subscript"/>
      <sz val="14"/>
      <color theme="1"/>
      <name val="Calibri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trike/>
      <sz val="11"/>
      <color theme="1"/>
      <name val="Times New Roman"/>
      <family val="1"/>
    </font>
    <font>
      <strike/>
      <vertAlign val="subscript"/>
      <sz val="11"/>
      <color theme="1"/>
      <name val="Times New Roman"/>
      <family val="1"/>
    </font>
    <font>
      <sz val="12"/>
      <color theme="0" tint="-0.499984740745262"/>
      <name val="Calibri"/>
      <scheme val="minor"/>
    </font>
    <font>
      <i/>
      <sz val="12"/>
      <color theme="1"/>
      <name val="Symbol"/>
      <family val="1"/>
      <charset val="2"/>
    </font>
    <font>
      <vertAlign val="subscript"/>
      <sz val="12"/>
      <color theme="1"/>
      <name val="Calibri"/>
      <family val="2"/>
      <scheme val="minor"/>
    </font>
    <font>
      <sz val="10"/>
      <color rgb="FF000000"/>
      <name val="Verdana"/>
      <family val="2"/>
    </font>
    <font>
      <vertAlign val="subscript"/>
      <sz val="10"/>
      <color rgb="FF000000"/>
      <name val="Verdana"/>
      <family val="2"/>
    </font>
    <font>
      <i/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Verdana"/>
      <family val="2"/>
    </font>
    <font>
      <vertAlign val="subscript"/>
      <sz val="10"/>
      <color theme="1"/>
      <name val="Verdana"/>
      <family val="2"/>
    </font>
    <font>
      <sz val="10"/>
      <color rgb="FF444444"/>
      <name val="Verdana"/>
      <family val="2"/>
    </font>
    <font>
      <vertAlign val="subscript"/>
      <sz val="10"/>
      <color rgb="FF444444"/>
      <name val="Verdana"/>
      <family val="2"/>
    </font>
    <font>
      <i/>
      <sz val="10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2"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Fill="1" applyBorder="1"/>
    <xf numFmtId="0" fontId="9" fillId="0" borderId="0" xfId="0" applyFont="1" applyBorder="1"/>
    <xf numFmtId="0" fontId="2" fillId="0" borderId="0" xfId="0" applyFont="1"/>
    <xf numFmtId="2" fontId="2" fillId="0" borderId="0" xfId="0" applyNumberFormat="1" applyFont="1"/>
    <xf numFmtId="0" fontId="4" fillId="0" borderId="0" xfId="0" applyFont="1"/>
    <xf numFmtId="0" fontId="0" fillId="0" borderId="0" xfId="0" applyBorder="1"/>
    <xf numFmtId="2" fontId="11" fillId="0" borderId="0" xfId="0" applyNumberFormat="1" applyFont="1" applyBorder="1"/>
    <xf numFmtId="0" fontId="0" fillId="0" borderId="0" xfId="0" applyFill="1" applyBorder="1"/>
    <xf numFmtId="164" fontId="11" fillId="0" borderId="0" xfId="0" applyNumberFormat="1" applyFont="1" applyBorder="1" applyAlignment="1">
      <alignment horizontal="right"/>
    </xf>
    <xf numFmtId="0" fontId="12" fillId="0" borderId="0" xfId="0" applyFont="1" applyFill="1" applyBorder="1"/>
    <xf numFmtId="164" fontId="12" fillId="0" borderId="0" xfId="0" applyNumberFormat="1" applyFont="1" applyBorder="1" applyAlignment="1">
      <alignment horizontal="right"/>
    </xf>
    <xf numFmtId="0" fontId="13" fillId="0" borderId="0" xfId="0" applyFont="1"/>
    <xf numFmtId="164" fontId="12" fillId="0" borderId="0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4" fillId="0" borderId="0" xfId="0" applyNumberFormat="1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0" fillId="0" borderId="0" xfId="0" applyNumberFormat="1"/>
    <xf numFmtId="2" fontId="2" fillId="2" borderId="1" xfId="0" applyNumberFormat="1" applyFont="1" applyFill="1" applyBorder="1"/>
    <xf numFmtId="2" fontId="15" fillId="0" borderId="0" xfId="0" applyNumberFormat="1" applyFont="1"/>
    <xf numFmtId="2" fontId="2" fillId="0" borderId="1" xfId="0" applyNumberFormat="1" applyFont="1" applyFill="1" applyBorder="1"/>
    <xf numFmtId="2" fontId="0" fillId="0" borderId="0" xfId="0" applyNumberFormat="1" applyFill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166" fontId="16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Fill="1" applyBorder="1"/>
    <xf numFmtId="165" fontId="2" fillId="0" borderId="1" xfId="0" applyNumberFormat="1" applyFont="1" applyBorder="1"/>
    <xf numFmtId="2" fontId="2" fillId="4" borderId="1" xfId="0" applyNumberFormat="1" applyFont="1" applyFill="1" applyBorder="1"/>
    <xf numFmtId="2" fontId="2" fillId="0" borderId="2" xfId="0" applyNumberFormat="1" applyFont="1" applyBorder="1" applyAlignment="1">
      <alignment horizontal="center"/>
    </xf>
    <xf numFmtId="2" fontId="5" fillId="0" borderId="1" xfId="0" applyNumberFormat="1" applyFont="1" applyBorder="1"/>
    <xf numFmtId="2" fontId="4" fillId="0" borderId="1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2" fillId="5" borderId="1" xfId="0" applyNumberFormat="1" applyFont="1" applyFill="1" applyBorder="1"/>
    <xf numFmtId="0" fontId="2" fillId="4" borderId="1" xfId="0" applyFont="1" applyFill="1" applyBorder="1"/>
    <xf numFmtId="165" fontId="2" fillId="6" borderId="1" xfId="0" applyNumberFormat="1" applyFont="1" applyFill="1" applyBorder="1" applyAlignment="1">
      <alignment horizontal="center"/>
    </xf>
    <xf numFmtId="0" fontId="0" fillId="7" borderId="0" xfId="0" applyFill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0" borderId="1" xfId="0" applyBorder="1"/>
    <xf numFmtId="2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165" fontId="0" fillId="0" borderId="0" xfId="0" applyNumberFormat="1"/>
    <xf numFmtId="165" fontId="2" fillId="7" borderId="1" xfId="0" applyNumberFormat="1" applyFont="1" applyFill="1" applyBorder="1"/>
    <xf numFmtId="0" fontId="18" fillId="0" borderId="0" xfId="0" applyFont="1"/>
    <xf numFmtId="1" fontId="5" fillId="0" borderId="0" xfId="0" applyNumberFormat="1" applyFont="1"/>
    <xf numFmtId="1" fontId="2" fillId="0" borderId="0" xfId="0" applyNumberFormat="1" applyFont="1"/>
    <xf numFmtId="2" fontId="19" fillId="0" borderId="0" xfId="0" quotePrefix="1" applyNumberFormat="1" applyFont="1"/>
    <xf numFmtId="165" fontId="2" fillId="2" borderId="1" xfId="0" applyNumberFormat="1" applyFont="1" applyFill="1" applyBorder="1"/>
    <xf numFmtId="2" fontId="2" fillId="7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shrinkToFit="1"/>
    </xf>
    <xf numFmtId="0" fontId="23" fillId="0" borderId="1" xfId="0" applyFont="1" applyBorder="1" applyAlignment="1">
      <alignment shrinkToFit="1"/>
    </xf>
    <xf numFmtId="2" fontId="2" fillId="0" borderId="1" xfId="0" applyNumberFormat="1" applyFont="1" applyBorder="1" applyAlignment="1">
      <alignment shrinkToFit="1"/>
    </xf>
    <xf numFmtId="2" fontId="5" fillId="0" borderId="1" xfId="0" applyNumberFormat="1" applyFont="1" applyBorder="1" applyAlignment="1">
      <alignment shrinkToFit="1"/>
    </xf>
    <xf numFmtId="0" fontId="2" fillId="0" borderId="0" xfId="0" applyFont="1" applyAlignment="1">
      <alignment shrinkToFit="1"/>
    </xf>
    <xf numFmtId="2" fontId="2" fillId="0" borderId="1" xfId="0" applyNumberFormat="1" applyFont="1" applyBorder="1" applyAlignment="1">
      <alignment horizontal="right" shrinkToFit="1"/>
    </xf>
    <xf numFmtId="0" fontId="2" fillId="0" borderId="0" xfId="0" applyFont="1" applyAlignment="1">
      <alignment horizontal="right" vertical="center" shrinkToFit="1"/>
    </xf>
    <xf numFmtId="0" fontId="24" fillId="0" borderId="0" xfId="0" applyFont="1" applyAlignment="1">
      <alignment shrinkToFit="1"/>
    </xf>
    <xf numFmtId="0" fontId="25" fillId="0" borderId="0" xfId="0" applyFont="1" applyAlignment="1">
      <alignment shrinkToFit="1"/>
    </xf>
    <xf numFmtId="0" fontId="9" fillId="0" borderId="1" xfId="0" applyFont="1" applyBorder="1" applyAlignment="1">
      <alignment shrinkToFit="1"/>
    </xf>
    <xf numFmtId="0" fontId="2" fillId="5" borderId="1" xfId="0" applyFont="1" applyFill="1" applyBorder="1" applyAlignment="1">
      <alignment shrinkToFit="1"/>
    </xf>
    <xf numFmtId="165" fontId="2" fillId="0" borderId="1" xfId="0" applyNumberFormat="1" applyFont="1" applyBorder="1" applyAlignment="1">
      <alignment shrinkToFit="1"/>
    </xf>
    <xf numFmtId="0" fontId="2" fillId="7" borderId="1" xfId="0" applyFont="1" applyFill="1" applyBorder="1" applyAlignment="1">
      <alignment shrinkToFit="1"/>
    </xf>
    <xf numFmtId="0" fontId="26" fillId="0" borderId="0" xfId="0" applyFont="1"/>
    <xf numFmtId="0" fontId="5" fillId="0" borderId="0" xfId="0" applyFont="1" applyFill="1" applyBorder="1"/>
    <xf numFmtId="0" fontId="0" fillId="8" borderId="0" xfId="0" applyFill="1"/>
    <xf numFmtId="2" fontId="0" fillId="8" borderId="0" xfId="0" applyNumberFormat="1" applyFill="1"/>
    <xf numFmtId="0" fontId="0" fillId="5" borderId="0" xfId="0" applyFill="1"/>
    <xf numFmtId="2" fontId="16" fillId="5" borderId="1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/>
    <xf numFmtId="0" fontId="4" fillId="0" borderId="1" xfId="0" applyFont="1" applyFill="1" applyBorder="1" applyAlignment="1">
      <alignment shrinkToFit="1"/>
    </xf>
    <xf numFmtId="0" fontId="4" fillId="0" borderId="1" xfId="0" applyFont="1" applyBorder="1" applyAlignment="1">
      <alignment shrinkToFit="1"/>
    </xf>
    <xf numFmtId="165" fontId="4" fillId="0" borderId="1" xfId="0" applyNumberFormat="1" applyFont="1" applyFill="1" applyBorder="1" applyAlignment="1">
      <alignment shrinkToFit="1"/>
    </xf>
    <xf numFmtId="165" fontId="4" fillId="0" borderId="1" xfId="0" applyNumberFormat="1" applyFont="1" applyBorder="1" applyAlignment="1">
      <alignment shrinkToFit="1"/>
    </xf>
    <xf numFmtId="2" fontId="4" fillId="0" borderId="1" xfId="0" applyNumberFormat="1" applyFont="1" applyBorder="1" applyAlignment="1">
      <alignment shrinkToFit="1"/>
    </xf>
    <xf numFmtId="0" fontId="2" fillId="0" borderId="5" xfId="0" applyFont="1" applyFill="1" applyBorder="1" applyAlignment="1">
      <alignment shrinkToFit="1"/>
    </xf>
    <xf numFmtId="2" fontId="16" fillId="3" borderId="1" xfId="0" applyNumberFormat="1" applyFont="1" applyFill="1" applyBorder="1" applyProtection="1">
      <protection locked="0"/>
    </xf>
    <xf numFmtId="0" fontId="16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5" fontId="2" fillId="0" borderId="1" xfId="0" applyNumberFormat="1" applyFont="1" applyBorder="1" applyAlignment="1">
      <alignment horizontal="center"/>
    </xf>
    <xf numFmtId="2" fontId="0" fillId="0" borderId="0" xfId="0" applyNumberFormat="1"/>
    <xf numFmtId="2" fontId="4" fillId="0" borderId="1" xfId="0" applyNumberFormat="1" applyFont="1" applyBorder="1" applyAlignment="1">
      <alignment horizontal="center"/>
    </xf>
    <xf numFmtId="166" fontId="11" fillId="0" borderId="0" xfId="0" applyNumberFormat="1" applyFont="1" applyBorder="1"/>
    <xf numFmtId="2" fontId="33" fillId="3" borderId="1" xfId="0" applyNumberFormat="1" applyFont="1" applyFill="1" applyBorder="1" applyProtection="1">
      <protection locked="0"/>
    </xf>
    <xf numFmtId="0" fontId="34" fillId="0" borderId="1" xfId="0" applyFont="1" applyBorder="1"/>
    <xf numFmtId="0" fontId="34" fillId="0" borderId="0" xfId="0" applyFont="1"/>
    <xf numFmtId="2" fontId="34" fillId="0" borderId="1" xfId="0" applyNumberFormat="1" applyFont="1" applyBorder="1"/>
    <xf numFmtId="0" fontId="34" fillId="0" borderId="1" xfId="0" applyFont="1" applyFill="1" applyBorder="1"/>
    <xf numFmtId="2" fontId="36" fillId="9" borderId="0" xfId="0" applyNumberFormat="1" applyFont="1" applyFill="1"/>
    <xf numFmtId="166" fontId="5" fillId="0" borderId="1" xfId="0" applyNumberFormat="1" applyFont="1" applyBorder="1" applyAlignment="1">
      <alignment shrinkToFit="1"/>
    </xf>
    <xf numFmtId="0" fontId="2" fillId="0" borderId="1" xfId="0" applyFont="1" applyBorder="1" applyAlignment="1">
      <alignment horizontal="right"/>
    </xf>
    <xf numFmtId="167" fontId="0" fillId="0" borderId="1" xfId="0" applyNumberFormat="1" applyFont="1" applyBorder="1" applyAlignment="1">
      <alignment horizontal="right"/>
    </xf>
    <xf numFmtId="167" fontId="0" fillId="0" borderId="1" xfId="0" applyNumberFormat="1" applyFill="1" applyBorder="1"/>
    <xf numFmtId="166" fontId="0" fillId="0" borderId="3" xfId="0" applyNumberFormat="1" applyFill="1" applyBorder="1"/>
    <xf numFmtId="167" fontId="11" fillId="0" borderId="1" xfId="0" applyNumberFormat="1" applyFont="1" applyBorder="1"/>
    <xf numFmtId="2" fontId="0" fillId="0" borderId="1" xfId="0" applyNumberFormat="1" applyFont="1" applyBorder="1" applyAlignment="1">
      <alignment horizontal="right" vertical="center"/>
    </xf>
    <xf numFmtId="2" fontId="0" fillId="0" borderId="1" xfId="0" applyNumberFormat="1" applyFont="1" applyBorder="1" applyAlignment="1">
      <alignment horizontal="right"/>
    </xf>
    <xf numFmtId="166" fontId="0" fillId="0" borderId="1" xfId="0" applyNumberFormat="1" applyFill="1" applyBorder="1"/>
    <xf numFmtId="167" fontId="15" fillId="0" borderId="1" xfId="0" applyNumberFormat="1" applyFont="1" applyBorder="1"/>
    <xf numFmtId="167" fontId="0" fillId="0" borderId="3" xfId="0" applyNumberFormat="1" applyFill="1" applyBorder="1"/>
    <xf numFmtId="0" fontId="0" fillId="0" borderId="8" xfId="0" applyBorder="1"/>
    <xf numFmtId="0" fontId="0" fillId="0" borderId="3" xfId="0" applyBorder="1"/>
    <xf numFmtId="0" fontId="37" fillId="0" borderId="2" xfId="0" applyFont="1" applyBorder="1"/>
    <xf numFmtId="1" fontId="0" fillId="0" borderId="1" xfId="0" applyNumberFormat="1" applyBorder="1"/>
    <xf numFmtId="0" fontId="0" fillId="0" borderId="5" xfId="0" applyBorder="1"/>
    <xf numFmtId="0" fontId="18" fillId="0" borderId="2" xfId="0" applyFont="1" applyBorder="1"/>
    <xf numFmtId="165" fontId="0" fillId="0" borderId="1" xfId="0" applyNumberFormat="1" applyBorder="1"/>
    <xf numFmtId="0" fontId="0" fillId="0" borderId="9" xfId="0" applyBorder="1"/>
    <xf numFmtId="0" fontId="39" fillId="0" borderId="2" xfId="0" applyFont="1" applyBorder="1"/>
    <xf numFmtId="0" fontId="41" fillId="0" borderId="1" xfId="0" applyFont="1" applyBorder="1"/>
    <xf numFmtId="0" fontId="41" fillId="0" borderId="7" xfId="0" applyFont="1" applyBorder="1"/>
    <xf numFmtId="0" fontId="44" fillId="0" borderId="2" xfId="0" applyFont="1" applyBorder="1"/>
    <xf numFmtId="0" fontId="46" fillId="0" borderId="2" xfId="0" applyFont="1" applyBorder="1"/>
    <xf numFmtId="167" fontId="0" fillId="0" borderId="1" xfId="0" applyNumberFormat="1" applyBorder="1"/>
    <xf numFmtId="0" fontId="48" fillId="0" borderId="2" xfId="0" applyFont="1" applyBorder="1"/>
    <xf numFmtId="0" fontId="27" fillId="9" borderId="0" xfId="0" applyFont="1" applyFill="1" applyProtection="1"/>
    <xf numFmtId="0" fontId="0" fillId="9" borderId="0" xfId="0" applyFill="1" applyProtection="1"/>
    <xf numFmtId="0" fontId="0" fillId="0" borderId="0" xfId="0" applyProtection="1"/>
    <xf numFmtId="0" fontId="20" fillId="0" borderId="0" xfId="0" applyFont="1" applyProtection="1"/>
    <xf numFmtId="0" fontId="2" fillId="0" borderId="1" xfId="0" applyFont="1" applyFill="1" applyBorder="1" applyProtection="1"/>
    <xf numFmtId="0" fontId="31" fillId="0" borderId="1" xfId="207" applyFont="1" applyFill="1" applyBorder="1" applyProtection="1"/>
    <xf numFmtId="0" fontId="23" fillId="0" borderId="1" xfId="0" applyFont="1" applyBorder="1" applyAlignment="1" applyProtection="1">
      <alignment shrinkToFi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/>
    </xf>
    <xf numFmtId="0" fontId="31" fillId="0" borderId="1" xfId="207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5" fillId="0" borderId="0" xfId="0" applyFont="1" applyBorder="1" applyProtection="1"/>
    <xf numFmtId="0" fontId="2" fillId="0" borderId="0" xfId="0" applyFont="1" applyFill="1" applyBorder="1" applyProtection="1"/>
    <xf numFmtId="1" fontId="2" fillId="0" borderId="6" xfId="0" applyNumberFormat="1" applyFont="1" applyFill="1" applyBorder="1" applyProtection="1"/>
    <xf numFmtId="0" fontId="5" fillId="0" borderId="0" xfId="0" applyFont="1" applyFill="1" applyBorder="1" applyProtection="1"/>
    <xf numFmtId="0" fontId="16" fillId="0" borderId="0" xfId="0" applyFont="1" applyProtection="1"/>
    <xf numFmtId="2" fontId="5" fillId="0" borderId="0" xfId="0" applyNumberFormat="1" applyFont="1" applyBorder="1" applyAlignment="1" applyProtection="1"/>
    <xf numFmtId="2" fontId="2" fillId="0" borderId="0" xfId="0" applyNumberFormat="1" applyFont="1" applyBorder="1" applyProtection="1"/>
    <xf numFmtId="0" fontId="4" fillId="0" borderId="1" xfId="0" applyFont="1" applyBorder="1" applyProtection="1"/>
    <xf numFmtId="0" fontId="16" fillId="2" borderId="6" xfId="0" applyFont="1" applyFill="1" applyBorder="1" applyProtection="1"/>
    <xf numFmtId="0" fontId="16" fillId="2" borderId="0" xfId="0" applyFont="1" applyFill="1" applyBorder="1" applyProtection="1"/>
    <xf numFmtId="0" fontId="2" fillId="0" borderId="0" xfId="0" applyFont="1" applyProtection="1"/>
    <xf numFmtId="2" fontId="16" fillId="2" borderId="6" xfId="0" applyNumberFormat="1" applyFont="1" applyFill="1" applyBorder="1" applyProtection="1"/>
    <xf numFmtId="2" fontId="16" fillId="2" borderId="0" xfId="0" applyNumberFormat="1" applyFont="1" applyFill="1" applyBorder="1" applyProtection="1"/>
    <xf numFmtId="0" fontId="0" fillId="2" borderId="6" xfId="0" applyFill="1" applyBorder="1" applyProtection="1"/>
    <xf numFmtId="0" fontId="4" fillId="0" borderId="1" xfId="0" applyFont="1" applyFill="1" applyBorder="1" applyProtection="1"/>
    <xf numFmtId="2" fontId="16" fillId="0" borderId="0" xfId="0" applyNumberFormat="1" applyFont="1" applyProtection="1"/>
    <xf numFmtId="0" fontId="0" fillId="2" borderId="1" xfId="0" applyFill="1" applyBorder="1" applyAlignment="1" applyProtection="1">
      <alignment horizontal="right"/>
    </xf>
    <xf numFmtId="0" fontId="0" fillId="0" borderId="1" xfId="0" applyBorder="1" applyAlignment="1" applyProtection="1">
      <alignment horizontal="right" vertical="center"/>
    </xf>
    <xf numFmtId="2" fontId="0" fillId="0" borderId="1" xfId="0" applyNumberFormat="1" applyBorder="1" applyProtection="1"/>
    <xf numFmtId="0" fontId="2" fillId="0" borderId="1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/>
    </xf>
    <xf numFmtId="0" fontId="16" fillId="0" borderId="1" xfId="0" applyFont="1" applyBorder="1" applyAlignment="1" applyProtection="1">
      <alignment horizontal="right" vertical="center"/>
    </xf>
    <xf numFmtId="0" fontId="28" fillId="10" borderId="2" xfId="0" applyFont="1" applyFill="1" applyBorder="1" applyAlignment="1" applyProtection="1">
      <alignment horizontal="right" vertical="center"/>
    </xf>
    <xf numFmtId="167" fontId="28" fillId="10" borderId="7" xfId="0" applyNumberFormat="1" applyFont="1" applyFill="1" applyBorder="1" applyAlignment="1" applyProtection="1">
      <alignment horizontal="center"/>
    </xf>
    <xf numFmtId="2" fontId="28" fillId="10" borderId="4" xfId="0" applyNumberFormat="1" applyFont="1" applyFill="1" applyBorder="1" applyProtection="1"/>
    <xf numFmtId="0" fontId="28" fillId="10" borderId="2" xfId="0" applyFont="1" applyFill="1" applyBorder="1" applyAlignment="1" applyProtection="1">
      <alignment horizontal="right"/>
    </xf>
    <xf numFmtId="0" fontId="28" fillId="10" borderId="4" xfId="0" applyFont="1" applyFill="1" applyBorder="1" applyProtection="1"/>
    <xf numFmtId="2" fontId="31" fillId="3" borderId="1" xfId="207" applyNumberFormat="1" applyFont="1" applyFill="1" applyBorder="1" applyProtection="1">
      <protection locked="0"/>
    </xf>
    <xf numFmtId="2" fontId="32" fillId="3" borderId="1" xfId="207" applyNumberFormat="1" applyFont="1" applyFill="1" applyBorder="1" applyProtection="1">
      <protection locked="0"/>
    </xf>
    <xf numFmtId="167" fontId="32" fillId="3" borderId="1" xfId="207" applyNumberFormat="1" applyFont="1" applyFill="1" applyBorder="1" applyProtection="1">
      <protection locked="0"/>
    </xf>
    <xf numFmtId="2" fontId="2" fillId="3" borderId="1" xfId="207" applyNumberFormat="1" applyFont="1" applyFill="1" applyBorder="1" applyProtection="1">
      <protection locked="0"/>
    </xf>
    <xf numFmtId="2" fontId="31" fillId="3" borderId="1" xfId="0" applyNumberFormat="1" applyFont="1" applyFill="1" applyBorder="1" applyProtection="1">
      <protection locked="0"/>
    </xf>
  </cellXfs>
  <cellStyles count="31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Normal" xfId="0" builtinId="0"/>
    <cellStyle name="Normal 2" xfId="20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theme" Target="theme/theme1.xml"/><Relationship Id="rId30" Type="http://schemas.openxmlformats.org/officeDocument/2006/relationships/styles" Target="styles.xml"/><Relationship Id="rId31" Type="http://schemas.openxmlformats.org/officeDocument/2006/relationships/sharedStrings" Target="sharedStrings.xml"/><Relationship Id="rId3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27</xdr:row>
      <xdr:rowOff>76200</xdr:rowOff>
    </xdr:from>
    <xdr:to>
      <xdr:col>12</xdr:col>
      <xdr:colOff>522393</xdr:colOff>
      <xdr:row>38</xdr:row>
      <xdr:rowOff>29953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1800" y="5334000"/>
          <a:ext cx="4711700" cy="2116986"/>
        </a:xfrm>
        <a:prstGeom prst="rect">
          <a:avLst/>
        </a:prstGeom>
      </xdr:spPr>
    </xdr:pic>
    <xdr:clientData/>
  </xdr:twoCellAnchor>
  <xdr:twoCellAnchor editAs="oneCell">
    <xdr:from>
      <xdr:col>6</xdr:col>
      <xdr:colOff>88052</xdr:colOff>
      <xdr:row>6</xdr:row>
      <xdr:rowOff>179494</xdr:rowOff>
    </xdr:from>
    <xdr:to>
      <xdr:col>12</xdr:col>
      <xdr:colOff>218439</xdr:colOff>
      <xdr:row>25</xdr:row>
      <xdr:rowOff>100754</xdr:rowOff>
    </xdr:to>
    <xdr:pic>
      <xdr:nvPicPr>
        <xdr:cNvPr id="7" name="Imag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0612" y="1419014"/>
          <a:ext cx="3676227" cy="3609340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282787</xdr:colOff>
      <xdr:row>6</xdr:row>
      <xdr:rowOff>145626</xdr:rowOff>
    </xdr:from>
    <xdr:to>
      <xdr:col>16</xdr:col>
      <xdr:colOff>778934</xdr:colOff>
      <xdr:row>18</xdr:row>
      <xdr:rowOff>47836</xdr:rowOff>
    </xdr:to>
    <xdr:pic>
      <xdr:nvPicPr>
        <xdr:cNvPr id="177" name="Image 17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1187" y="1385146"/>
          <a:ext cx="2904067" cy="22390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243840</xdr:colOff>
      <xdr:row>7</xdr:row>
      <xdr:rowOff>30480</xdr:rowOff>
    </xdr:from>
    <xdr:to>
      <xdr:col>5</xdr:col>
      <xdr:colOff>788670</xdr:colOff>
      <xdr:row>14</xdr:row>
      <xdr:rowOff>48895</xdr:rowOff>
    </xdr:to>
    <xdr:pic>
      <xdr:nvPicPr>
        <xdr:cNvPr id="5" name="Image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1463040"/>
          <a:ext cx="1743710" cy="139001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58</xdr:row>
      <xdr:rowOff>123825</xdr:rowOff>
    </xdr:from>
    <xdr:to>
      <xdr:col>8</xdr:col>
      <xdr:colOff>390525</xdr:colOff>
      <xdr:row>59</xdr:row>
      <xdr:rowOff>161925</xdr:rowOff>
    </xdr:to>
    <xdr:sp macro="" textlink="">
      <xdr:nvSpPr>
        <xdr:cNvPr id="2" name="ZoneTexte 1"/>
        <xdr:cNvSpPr txBox="1"/>
      </xdr:nvSpPr>
      <xdr:spPr>
        <a:xfrm>
          <a:off x="7102475" y="101949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55</xdr:row>
      <xdr:rowOff>123825</xdr:rowOff>
    </xdr:from>
    <xdr:to>
      <xdr:col>8</xdr:col>
      <xdr:colOff>390525</xdr:colOff>
      <xdr:row>56</xdr:row>
      <xdr:rowOff>161925</xdr:rowOff>
    </xdr:to>
    <xdr:sp macro="" textlink="">
      <xdr:nvSpPr>
        <xdr:cNvPr id="3" name="ZoneTexte 2"/>
        <xdr:cNvSpPr txBox="1"/>
      </xdr:nvSpPr>
      <xdr:spPr>
        <a:xfrm>
          <a:off x="7102475" y="1041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46</xdr:row>
      <xdr:rowOff>123825</xdr:rowOff>
    </xdr:from>
    <xdr:to>
      <xdr:col>2</xdr:col>
      <xdr:colOff>390525</xdr:colOff>
      <xdr:row>47</xdr:row>
      <xdr:rowOff>161925</xdr:rowOff>
    </xdr:to>
    <xdr:sp macro="" textlink="">
      <xdr:nvSpPr>
        <xdr:cNvPr id="2" name="ZoneTexte 1"/>
        <xdr:cNvSpPr txBox="1"/>
      </xdr:nvSpPr>
      <xdr:spPr>
        <a:xfrm>
          <a:off x="1577975" y="8569325"/>
          <a:ext cx="5143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47</xdr:row>
      <xdr:rowOff>123825</xdr:rowOff>
    </xdr:from>
    <xdr:to>
      <xdr:col>2</xdr:col>
      <xdr:colOff>390525</xdr:colOff>
      <xdr:row>48</xdr:row>
      <xdr:rowOff>161925</xdr:rowOff>
    </xdr:to>
    <xdr:sp macro="" textlink="">
      <xdr:nvSpPr>
        <xdr:cNvPr id="3" name="ZoneTexte 2"/>
        <xdr:cNvSpPr txBox="1"/>
      </xdr:nvSpPr>
      <xdr:spPr>
        <a:xfrm>
          <a:off x="1577975" y="8785225"/>
          <a:ext cx="5143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47</xdr:row>
      <xdr:rowOff>123825</xdr:rowOff>
    </xdr:from>
    <xdr:to>
      <xdr:col>2</xdr:col>
      <xdr:colOff>390525</xdr:colOff>
      <xdr:row>48</xdr:row>
      <xdr:rowOff>161925</xdr:rowOff>
    </xdr:to>
    <xdr:sp macro="" textlink="">
      <xdr:nvSpPr>
        <xdr:cNvPr id="4" name="ZoneTexte 3"/>
        <xdr:cNvSpPr txBox="1"/>
      </xdr:nvSpPr>
      <xdr:spPr>
        <a:xfrm>
          <a:off x="1577975" y="8785225"/>
          <a:ext cx="5143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48</xdr:row>
      <xdr:rowOff>123825</xdr:rowOff>
    </xdr:from>
    <xdr:to>
      <xdr:col>2</xdr:col>
      <xdr:colOff>390525</xdr:colOff>
      <xdr:row>49</xdr:row>
      <xdr:rowOff>161925</xdr:rowOff>
    </xdr:to>
    <xdr:sp macro="" textlink="">
      <xdr:nvSpPr>
        <xdr:cNvPr id="5" name="ZoneTexte 4"/>
        <xdr:cNvSpPr txBox="1"/>
      </xdr:nvSpPr>
      <xdr:spPr>
        <a:xfrm>
          <a:off x="1577975" y="8963025"/>
          <a:ext cx="5143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49</xdr:row>
      <xdr:rowOff>123825</xdr:rowOff>
    </xdr:from>
    <xdr:to>
      <xdr:col>2</xdr:col>
      <xdr:colOff>390525</xdr:colOff>
      <xdr:row>50</xdr:row>
      <xdr:rowOff>161925</xdr:rowOff>
    </xdr:to>
    <xdr:sp macro="" textlink="">
      <xdr:nvSpPr>
        <xdr:cNvPr id="6" name="ZoneTexte 5"/>
        <xdr:cNvSpPr txBox="1"/>
      </xdr:nvSpPr>
      <xdr:spPr>
        <a:xfrm>
          <a:off x="1577975" y="9140825"/>
          <a:ext cx="5143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50</xdr:row>
      <xdr:rowOff>123825</xdr:rowOff>
    </xdr:from>
    <xdr:to>
      <xdr:col>2</xdr:col>
      <xdr:colOff>390525</xdr:colOff>
      <xdr:row>51</xdr:row>
      <xdr:rowOff>0</xdr:rowOff>
    </xdr:to>
    <xdr:sp macro="" textlink="">
      <xdr:nvSpPr>
        <xdr:cNvPr id="7" name="ZoneTexte 6"/>
        <xdr:cNvSpPr txBox="1"/>
      </xdr:nvSpPr>
      <xdr:spPr>
        <a:xfrm>
          <a:off x="1577975" y="9318625"/>
          <a:ext cx="5143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51</xdr:row>
      <xdr:rowOff>0</xdr:rowOff>
    </xdr:from>
    <xdr:to>
      <xdr:col>2</xdr:col>
      <xdr:colOff>390525</xdr:colOff>
      <xdr:row>51</xdr:row>
      <xdr:rowOff>161925</xdr:rowOff>
    </xdr:to>
    <xdr:sp macro="" textlink="">
      <xdr:nvSpPr>
        <xdr:cNvPr id="8" name="ZoneTexte 7"/>
        <xdr:cNvSpPr txBox="1"/>
      </xdr:nvSpPr>
      <xdr:spPr>
        <a:xfrm>
          <a:off x="1577975" y="9496425"/>
          <a:ext cx="5143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46</xdr:row>
      <xdr:rowOff>123825</xdr:rowOff>
    </xdr:from>
    <xdr:to>
      <xdr:col>4</xdr:col>
      <xdr:colOff>390525</xdr:colOff>
      <xdr:row>47</xdr:row>
      <xdr:rowOff>161925</xdr:rowOff>
    </xdr:to>
    <xdr:sp macro="" textlink="">
      <xdr:nvSpPr>
        <xdr:cNvPr id="9" name="ZoneTexte 8"/>
        <xdr:cNvSpPr txBox="1"/>
      </xdr:nvSpPr>
      <xdr:spPr>
        <a:xfrm>
          <a:off x="2454275" y="85693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10" name="ZoneTexte 9"/>
        <xdr:cNvSpPr txBox="1"/>
      </xdr:nvSpPr>
      <xdr:spPr>
        <a:xfrm>
          <a:off x="2454275" y="8785225"/>
          <a:ext cx="12890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11" name="ZoneTexte 10"/>
        <xdr:cNvSpPr txBox="1"/>
      </xdr:nvSpPr>
      <xdr:spPr>
        <a:xfrm>
          <a:off x="2454275" y="8785225"/>
          <a:ext cx="12890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48</xdr:row>
      <xdr:rowOff>123825</xdr:rowOff>
    </xdr:from>
    <xdr:to>
      <xdr:col>4</xdr:col>
      <xdr:colOff>390525</xdr:colOff>
      <xdr:row>49</xdr:row>
      <xdr:rowOff>161925</xdr:rowOff>
    </xdr:to>
    <xdr:sp macro="" textlink="">
      <xdr:nvSpPr>
        <xdr:cNvPr id="12" name="ZoneTexte 11"/>
        <xdr:cNvSpPr txBox="1"/>
      </xdr:nvSpPr>
      <xdr:spPr>
        <a:xfrm>
          <a:off x="2454275" y="8963025"/>
          <a:ext cx="12890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14" name="ZoneTexte 13"/>
        <xdr:cNvSpPr txBox="1"/>
      </xdr:nvSpPr>
      <xdr:spPr>
        <a:xfrm>
          <a:off x="4105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5" name="ZoneTexte 14"/>
        <xdr:cNvSpPr txBox="1"/>
      </xdr:nvSpPr>
      <xdr:spPr>
        <a:xfrm>
          <a:off x="4105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6" name="ZoneTexte 15"/>
        <xdr:cNvSpPr txBox="1"/>
      </xdr:nvSpPr>
      <xdr:spPr>
        <a:xfrm>
          <a:off x="4105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17" name="ZoneTexte 16"/>
        <xdr:cNvSpPr txBox="1"/>
      </xdr:nvSpPr>
      <xdr:spPr>
        <a:xfrm>
          <a:off x="4105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49</xdr:row>
      <xdr:rowOff>123825</xdr:rowOff>
    </xdr:from>
    <xdr:to>
      <xdr:col>5</xdr:col>
      <xdr:colOff>390525</xdr:colOff>
      <xdr:row>50</xdr:row>
      <xdr:rowOff>161925</xdr:rowOff>
    </xdr:to>
    <xdr:sp macro="" textlink="">
      <xdr:nvSpPr>
        <xdr:cNvPr id="18" name="ZoneTexte 17"/>
        <xdr:cNvSpPr txBox="1"/>
      </xdr:nvSpPr>
      <xdr:spPr>
        <a:xfrm>
          <a:off x="41052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50</xdr:row>
      <xdr:rowOff>123825</xdr:rowOff>
    </xdr:from>
    <xdr:to>
      <xdr:col>5</xdr:col>
      <xdr:colOff>390525</xdr:colOff>
      <xdr:row>51</xdr:row>
      <xdr:rowOff>0</xdr:rowOff>
    </xdr:to>
    <xdr:sp macro="" textlink="">
      <xdr:nvSpPr>
        <xdr:cNvPr id="19" name="ZoneTexte 18"/>
        <xdr:cNvSpPr txBox="1"/>
      </xdr:nvSpPr>
      <xdr:spPr>
        <a:xfrm>
          <a:off x="41052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51</xdr:row>
      <xdr:rowOff>0</xdr:rowOff>
    </xdr:from>
    <xdr:to>
      <xdr:col>5</xdr:col>
      <xdr:colOff>390525</xdr:colOff>
      <xdr:row>51</xdr:row>
      <xdr:rowOff>161925</xdr:rowOff>
    </xdr:to>
    <xdr:sp macro="" textlink="">
      <xdr:nvSpPr>
        <xdr:cNvPr id="20" name="ZoneTexte 19"/>
        <xdr:cNvSpPr txBox="1"/>
      </xdr:nvSpPr>
      <xdr:spPr>
        <a:xfrm>
          <a:off x="41052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1" name="ZoneTexte 20"/>
        <xdr:cNvSpPr txBox="1"/>
      </xdr:nvSpPr>
      <xdr:spPr>
        <a:xfrm>
          <a:off x="49307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2" name="ZoneTexte 21"/>
        <xdr:cNvSpPr txBox="1"/>
      </xdr:nvSpPr>
      <xdr:spPr>
        <a:xfrm>
          <a:off x="4930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3" name="ZoneTexte 22"/>
        <xdr:cNvSpPr txBox="1"/>
      </xdr:nvSpPr>
      <xdr:spPr>
        <a:xfrm>
          <a:off x="4930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4" name="ZoneTexte 23"/>
        <xdr:cNvSpPr txBox="1"/>
      </xdr:nvSpPr>
      <xdr:spPr>
        <a:xfrm>
          <a:off x="49307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244475</xdr:colOff>
      <xdr:row>56</xdr:row>
      <xdr:rowOff>34925</xdr:rowOff>
    </xdr:from>
    <xdr:to>
      <xdr:col>5</xdr:col>
      <xdr:colOff>708025</xdr:colOff>
      <xdr:row>56</xdr:row>
      <xdr:rowOff>101600</xdr:rowOff>
    </xdr:to>
    <xdr:sp macro="" textlink="">
      <xdr:nvSpPr>
        <xdr:cNvPr id="26" name="ZoneTexte 25"/>
        <xdr:cNvSpPr txBox="1"/>
      </xdr:nvSpPr>
      <xdr:spPr>
        <a:xfrm>
          <a:off x="4371975" y="109315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8" name="ZoneTexte 27"/>
        <xdr:cNvSpPr txBox="1"/>
      </xdr:nvSpPr>
      <xdr:spPr>
        <a:xfrm>
          <a:off x="49307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9" name="ZoneTexte 28"/>
        <xdr:cNvSpPr txBox="1"/>
      </xdr:nvSpPr>
      <xdr:spPr>
        <a:xfrm>
          <a:off x="4930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30" name="ZoneTexte 29"/>
        <xdr:cNvSpPr txBox="1"/>
      </xdr:nvSpPr>
      <xdr:spPr>
        <a:xfrm>
          <a:off x="4930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31" name="ZoneTexte 30"/>
        <xdr:cNvSpPr txBox="1"/>
      </xdr:nvSpPr>
      <xdr:spPr>
        <a:xfrm>
          <a:off x="49307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35" name="ZoneTexte 34"/>
        <xdr:cNvSpPr txBox="1"/>
      </xdr:nvSpPr>
      <xdr:spPr>
        <a:xfrm>
          <a:off x="5756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36" name="ZoneTexte 35"/>
        <xdr:cNvSpPr txBox="1"/>
      </xdr:nvSpPr>
      <xdr:spPr>
        <a:xfrm>
          <a:off x="5756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37" name="ZoneTexte 36"/>
        <xdr:cNvSpPr txBox="1"/>
      </xdr:nvSpPr>
      <xdr:spPr>
        <a:xfrm>
          <a:off x="5756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38" name="ZoneTexte 37"/>
        <xdr:cNvSpPr txBox="1"/>
      </xdr:nvSpPr>
      <xdr:spPr>
        <a:xfrm>
          <a:off x="5756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39" name="ZoneTexte 38"/>
        <xdr:cNvSpPr txBox="1"/>
      </xdr:nvSpPr>
      <xdr:spPr>
        <a:xfrm>
          <a:off x="57562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40" name="ZoneTexte 39"/>
        <xdr:cNvSpPr txBox="1"/>
      </xdr:nvSpPr>
      <xdr:spPr>
        <a:xfrm>
          <a:off x="57562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0</xdr:rowOff>
    </xdr:from>
    <xdr:to>
      <xdr:col>7</xdr:col>
      <xdr:colOff>390525</xdr:colOff>
      <xdr:row>51</xdr:row>
      <xdr:rowOff>161925</xdr:rowOff>
    </xdr:to>
    <xdr:sp macro="" textlink="">
      <xdr:nvSpPr>
        <xdr:cNvPr id="41" name="ZoneTexte 40"/>
        <xdr:cNvSpPr txBox="1"/>
      </xdr:nvSpPr>
      <xdr:spPr>
        <a:xfrm>
          <a:off x="57562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42" name="ZoneTexte 41"/>
        <xdr:cNvSpPr txBox="1"/>
      </xdr:nvSpPr>
      <xdr:spPr>
        <a:xfrm>
          <a:off x="5756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43" name="ZoneTexte 42"/>
        <xdr:cNvSpPr txBox="1"/>
      </xdr:nvSpPr>
      <xdr:spPr>
        <a:xfrm>
          <a:off x="5756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44" name="ZoneTexte 43"/>
        <xdr:cNvSpPr txBox="1"/>
      </xdr:nvSpPr>
      <xdr:spPr>
        <a:xfrm>
          <a:off x="5756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45" name="ZoneTexte 44"/>
        <xdr:cNvSpPr txBox="1"/>
      </xdr:nvSpPr>
      <xdr:spPr>
        <a:xfrm>
          <a:off x="5756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46" name="ZoneTexte 45"/>
        <xdr:cNvSpPr txBox="1"/>
      </xdr:nvSpPr>
      <xdr:spPr>
        <a:xfrm>
          <a:off x="57562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47" name="ZoneTexte 46"/>
        <xdr:cNvSpPr txBox="1"/>
      </xdr:nvSpPr>
      <xdr:spPr>
        <a:xfrm>
          <a:off x="57562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0</xdr:rowOff>
    </xdr:from>
    <xdr:to>
      <xdr:col>7</xdr:col>
      <xdr:colOff>390525</xdr:colOff>
      <xdr:row>51</xdr:row>
      <xdr:rowOff>161925</xdr:rowOff>
    </xdr:to>
    <xdr:sp macro="" textlink="">
      <xdr:nvSpPr>
        <xdr:cNvPr id="48" name="ZoneTexte 47"/>
        <xdr:cNvSpPr txBox="1"/>
      </xdr:nvSpPr>
      <xdr:spPr>
        <a:xfrm>
          <a:off x="57562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49" name="ZoneTexte 48"/>
        <xdr:cNvSpPr txBox="1"/>
      </xdr:nvSpPr>
      <xdr:spPr>
        <a:xfrm>
          <a:off x="65817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50" name="ZoneTexte 49"/>
        <xdr:cNvSpPr txBox="1"/>
      </xdr:nvSpPr>
      <xdr:spPr>
        <a:xfrm>
          <a:off x="6581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51" name="ZoneTexte 50"/>
        <xdr:cNvSpPr txBox="1"/>
      </xdr:nvSpPr>
      <xdr:spPr>
        <a:xfrm>
          <a:off x="6581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52" name="ZoneTexte 51"/>
        <xdr:cNvSpPr txBox="1"/>
      </xdr:nvSpPr>
      <xdr:spPr>
        <a:xfrm>
          <a:off x="65817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53" name="ZoneTexte 52"/>
        <xdr:cNvSpPr txBox="1"/>
      </xdr:nvSpPr>
      <xdr:spPr>
        <a:xfrm>
          <a:off x="65817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54" name="ZoneTexte 53"/>
        <xdr:cNvSpPr txBox="1"/>
      </xdr:nvSpPr>
      <xdr:spPr>
        <a:xfrm>
          <a:off x="65817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51</xdr:row>
      <xdr:rowOff>0</xdr:rowOff>
    </xdr:from>
    <xdr:to>
      <xdr:col>8</xdr:col>
      <xdr:colOff>390525</xdr:colOff>
      <xdr:row>51</xdr:row>
      <xdr:rowOff>161925</xdr:rowOff>
    </xdr:to>
    <xdr:sp macro="" textlink="">
      <xdr:nvSpPr>
        <xdr:cNvPr id="55" name="ZoneTexte 54"/>
        <xdr:cNvSpPr txBox="1"/>
      </xdr:nvSpPr>
      <xdr:spPr>
        <a:xfrm>
          <a:off x="65817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56" name="ZoneTexte 55"/>
        <xdr:cNvSpPr txBox="1"/>
      </xdr:nvSpPr>
      <xdr:spPr>
        <a:xfrm>
          <a:off x="65817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57" name="ZoneTexte 56"/>
        <xdr:cNvSpPr txBox="1"/>
      </xdr:nvSpPr>
      <xdr:spPr>
        <a:xfrm>
          <a:off x="6581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58" name="ZoneTexte 57"/>
        <xdr:cNvSpPr txBox="1"/>
      </xdr:nvSpPr>
      <xdr:spPr>
        <a:xfrm>
          <a:off x="6581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59" name="ZoneTexte 58"/>
        <xdr:cNvSpPr txBox="1"/>
      </xdr:nvSpPr>
      <xdr:spPr>
        <a:xfrm>
          <a:off x="65817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60" name="ZoneTexte 59"/>
        <xdr:cNvSpPr txBox="1"/>
      </xdr:nvSpPr>
      <xdr:spPr>
        <a:xfrm>
          <a:off x="65817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61" name="ZoneTexte 60"/>
        <xdr:cNvSpPr txBox="1"/>
      </xdr:nvSpPr>
      <xdr:spPr>
        <a:xfrm>
          <a:off x="65817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51</xdr:row>
      <xdr:rowOff>0</xdr:rowOff>
    </xdr:from>
    <xdr:to>
      <xdr:col>8</xdr:col>
      <xdr:colOff>390525</xdr:colOff>
      <xdr:row>51</xdr:row>
      <xdr:rowOff>161925</xdr:rowOff>
    </xdr:to>
    <xdr:sp macro="" textlink="">
      <xdr:nvSpPr>
        <xdr:cNvPr id="62" name="ZoneTexte 61"/>
        <xdr:cNvSpPr txBox="1"/>
      </xdr:nvSpPr>
      <xdr:spPr>
        <a:xfrm>
          <a:off x="65817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63" name="ZoneTexte 62"/>
        <xdr:cNvSpPr txBox="1"/>
      </xdr:nvSpPr>
      <xdr:spPr>
        <a:xfrm>
          <a:off x="7407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64" name="ZoneTexte 63"/>
        <xdr:cNvSpPr txBox="1"/>
      </xdr:nvSpPr>
      <xdr:spPr>
        <a:xfrm>
          <a:off x="7407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65" name="ZoneTexte 64"/>
        <xdr:cNvSpPr txBox="1"/>
      </xdr:nvSpPr>
      <xdr:spPr>
        <a:xfrm>
          <a:off x="7407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66" name="ZoneTexte 65"/>
        <xdr:cNvSpPr txBox="1"/>
      </xdr:nvSpPr>
      <xdr:spPr>
        <a:xfrm>
          <a:off x="7407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67" name="ZoneTexte 66"/>
        <xdr:cNvSpPr txBox="1"/>
      </xdr:nvSpPr>
      <xdr:spPr>
        <a:xfrm>
          <a:off x="74072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68" name="ZoneTexte 67"/>
        <xdr:cNvSpPr txBox="1"/>
      </xdr:nvSpPr>
      <xdr:spPr>
        <a:xfrm>
          <a:off x="74072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51</xdr:row>
      <xdr:rowOff>0</xdr:rowOff>
    </xdr:from>
    <xdr:to>
      <xdr:col>9</xdr:col>
      <xdr:colOff>390525</xdr:colOff>
      <xdr:row>51</xdr:row>
      <xdr:rowOff>161925</xdr:rowOff>
    </xdr:to>
    <xdr:sp macro="" textlink="">
      <xdr:nvSpPr>
        <xdr:cNvPr id="69" name="ZoneTexte 68"/>
        <xdr:cNvSpPr txBox="1"/>
      </xdr:nvSpPr>
      <xdr:spPr>
        <a:xfrm>
          <a:off x="74072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70" name="ZoneTexte 69"/>
        <xdr:cNvSpPr txBox="1"/>
      </xdr:nvSpPr>
      <xdr:spPr>
        <a:xfrm>
          <a:off x="7407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71" name="ZoneTexte 70"/>
        <xdr:cNvSpPr txBox="1"/>
      </xdr:nvSpPr>
      <xdr:spPr>
        <a:xfrm>
          <a:off x="7407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72" name="ZoneTexte 71"/>
        <xdr:cNvSpPr txBox="1"/>
      </xdr:nvSpPr>
      <xdr:spPr>
        <a:xfrm>
          <a:off x="7407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73" name="ZoneTexte 72"/>
        <xdr:cNvSpPr txBox="1"/>
      </xdr:nvSpPr>
      <xdr:spPr>
        <a:xfrm>
          <a:off x="7407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74" name="ZoneTexte 73"/>
        <xdr:cNvSpPr txBox="1"/>
      </xdr:nvSpPr>
      <xdr:spPr>
        <a:xfrm>
          <a:off x="74072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75" name="ZoneTexte 74"/>
        <xdr:cNvSpPr txBox="1"/>
      </xdr:nvSpPr>
      <xdr:spPr>
        <a:xfrm>
          <a:off x="74072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51</xdr:row>
      <xdr:rowOff>0</xdr:rowOff>
    </xdr:from>
    <xdr:to>
      <xdr:col>9</xdr:col>
      <xdr:colOff>390525</xdr:colOff>
      <xdr:row>51</xdr:row>
      <xdr:rowOff>161925</xdr:rowOff>
    </xdr:to>
    <xdr:sp macro="" textlink="">
      <xdr:nvSpPr>
        <xdr:cNvPr id="76" name="ZoneTexte 75"/>
        <xdr:cNvSpPr txBox="1"/>
      </xdr:nvSpPr>
      <xdr:spPr>
        <a:xfrm>
          <a:off x="74072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77" name="ZoneTexte 76"/>
        <xdr:cNvSpPr txBox="1"/>
      </xdr:nvSpPr>
      <xdr:spPr>
        <a:xfrm>
          <a:off x="82327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78" name="ZoneTexte 77"/>
        <xdr:cNvSpPr txBox="1"/>
      </xdr:nvSpPr>
      <xdr:spPr>
        <a:xfrm>
          <a:off x="8232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79" name="ZoneTexte 78"/>
        <xdr:cNvSpPr txBox="1"/>
      </xdr:nvSpPr>
      <xdr:spPr>
        <a:xfrm>
          <a:off x="8232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80" name="ZoneTexte 79"/>
        <xdr:cNvSpPr txBox="1"/>
      </xdr:nvSpPr>
      <xdr:spPr>
        <a:xfrm>
          <a:off x="82327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81" name="ZoneTexte 80"/>
        <xdr:cNvSpPr txBox="1"/>
      </xdr:nvSpPr>
      <xdr:spPr>
        <a:xfrm>
          <a:off x="82327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0</xdr:rowOff>
    </xdr:to>
    <xdr:sp macro="" textlink="">
      <xdr:nvSpPr>
        <xdr:cNvPr id="82" name="ZoneTexte 81"/>
        <xdr:cNvSpPr txBox="1"/>
      </xdr:nvSpPr>
      <xdr:spPr>
        <a:xfrm>
          <a:off x="82327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51</xdr:row>
      <xdr:rowOff>0</xdr:rowOff>
    </xdr:from>
    <xdr:to>
      <xdr:col>10</xdr:col>
      <xdr:colOff>390525</xdr:colOff>
      <xdr:row>51</xdr:row>
      <xdr:rowOff>161925</xdr:rowOff>
    </xdr:to>
    <xdr:sp macro="" textlink="">
      <xdr:nvSpPr>
        <xdr:cNvPr id="83" name="ZoneTexte 82"/>
        <xdr:cNvSpPr txBox="1"/>
      </xdr:nvSpPr>
      <xdr:spPr>
        <a:xfrm>
          <a:off x="82327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46</xdr:row>
      <xdr:rowOff>123825</xdr:rowOff>
    </xdr:from>
    <xdr:to>
      <xdr:col>3</xdr:col>
      <xdr:colOff>390525</xdr:colOff>
      <xdr:row>47</xdr:row>
      <xdr:rowOff>161925</xdr:rowOff>
    </xdr:to>
    <xdr:sp macro="" textlink="">
      <xdr:nvSpPr>
        <xdr:cNvPr id="84" name="ZoneTexte 83"/>
        <xdr:cNvSpPr txBox="1"/>
      </xdr:nvSpPr>
      <xdr:spPr>
        <a:xfrm>
          <a:off x="2454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3</xdr:col>
      <xdr:colOff>390525</xdr:colOff>
      <xdr:row>48</xdr:row>
      <xdr:rowOff>161925</xdr:rowOff>
    </xdr:to>
    <xdr:sp macro="" textlink="">
      <xdr:nvSpPr>
        <xdr:cNvPr id="85" name="ZoneTexte 84"/>
        <xdr:cNvSpPr txBox="1"/>
      </xdr:nvSpPr>
      <xdr:spPr>
        <a:xfrm>
          <a:off x="2454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3</xdr:col>
      <xdr:colOff>390525</xdr:colOff>
      <xdr:row>48</xdr:row>
      <xdr:rowOff>161925</xdr:rowOff>
    </xdr:to>
    <xdr:sp macro="" textlink="">
      <xdr:nvSpPr>
        <xdr:cNvPr id="86" name="ZoneTexte 85"/>
        <xdr:cNvSpPr txBox="1"/>
      </xdr:nvSpPr>
      <xdr:spPr>
        <a:xfrm>
          <a:off x="2454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48</xdr:row>
      <xdr:rowOff>123825</xdr:rowOff>
    </xdr:from>
    <xdr:to>
      <xdr:col>3</xdr:col>
      <xdr:colOff>390525</xdr:colOff>
      <xdr:row>49</xdr:row>
      <xdr:rowOff>161925</xdr:rowOff>
    </xdr:to>
    <xdr:sp macro="" textlink="">
      <xdr:nvSpPr>
        <xdr:cNvPr id="87" name="ZoneTexte 86"/>
        <xdr:cNvSpPr txBox="1"/>
      </xdr:nvSpPr>
      <xdr:spPr>
        <a:xfrm>
          <a:off x="2454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46</xdr:row>
      <xdr:rowOff>123825</xdr:rowOff>
    </xdr:from>
    <xdr:to>
      <xdr:col>4</xdr:col>
      <xdr:colOff>390525</xdr:colOff>
      <xdr:row>47</xdr:row>
      <xdr:rowOff>161925</xdr:rowOff>
    </xdr:to>
    <xdr:sp macro="" textlink="">
      <xdr:nvSpPr>
        <xdr:cNvPr id="91" name="ZoneTexte 90"/>
        <xdr:cNvSpPr txBox="1"/>
      </xdr:nvSpPr>
      <xdr:spPr>
        <a:xfrm>
          <a:off x="32797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92" name="ZoneTexte 91"/>
        <xdr:cNvSpPr txBox="1"/>
      </xdr:nvSpPr>
      <xdr:spPr>
        <a:xfrm>
          <a:off x="3279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93" name="ZoneTexte 92"/>
        <xdr:cNvSpPr txBox="1"/>
      </xdr:nvSpPr>
      <xdr:spPr>
        <a:xfrm>
          <a:off x="3279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48</xdr:row>
      <xdr:rowOff>123825</xdr:rowOff>
    </xdr:from>
    <xdr:to>
      <xdr:col>4</xdr:col>
      <xdr:colOff>390525</xdr:colOff>
      <xdr:row>49</xdr:row>
      <xdr:rowOff>161925</xdr:rowOff>
    </xdr:to>
    <xdr:sp macro="" textlink="">
      <xdr:nvSpPr>
        <xdr:cNvPr id="94" name="ZoneTexte 93"/>
        <xdr:cNvSpPr txBox="1"/>
      </xdr:nvSpPr>
      <xdr:spPr>
        <a:xfrm>
          <a:off x="32797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49</xdr:row>
      <xdr:rowOff>123825</xdr:rowOff>
    </xdr:from>
    <xdr:to>
      <xdr:col>4</xdr:col>
      <xdr:colOff>390525</xdr:colOff>
      <xdr:row>50</xdr:row>
      <xdr:rowOff>161925</xdr:rowOff>
    </xdr:to>
    <xdr:sp macro="" textlink="">
      <xdr:nvSpPr>
        <xdr:cNvPr id="95" name="ZoneTexte 94"/>
        <xdr:cNvSpPr txBox="1"/>
      </xdr:nvSpPr>
      <xdr:spPr>
        <a:xfrm>
          <a:off x="32797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50</xdr:row>
      <xdr:rowOff>123825</xdr:rowOff>
    </xdr:from>
    <xdr:to>
      <xdr:col>4</xdr:col>
      <xdr:colOff>390525</xdr:colOff>
      <xdr:row>51</xdr:row>
      <xdr:rowOff>0</xdr:rowOff>
    </xdr:to>
    <xdr:sp macro="" textlink="">
      <xdr:nvSpPr>
        <xdr:cNvPr id="96" name="ZoneTexte 95"/>
        <xdr:cNvSpPr txBox="1"/>
      </xdr:nvSpPr>
      <xdr:spPr>
        <a:xfrm>
          <a:off x="32797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51</xdr:row>
      <xdr:rowOff>0</xdr:rowOff>
    </xdr:from>
    <xdr:to>
      <xdr:col>4</xdr:col>
      <xdr:colOff>390525</xdr:colOff>
      <xdr:row>51</xdr:row>
      <xdr:rowOff>161925</xdr:rowOff>
    </xdr:to>
    <xdr:sp macro="" textlink="">
      <xdr:nvSpPr>
        <xdr:cNvPr id="97" name="ZoneTexte 96"/>
        <xdr:cNvSpPr txBox="1"/>
      </xdr:nvSpPr>
      <xdr:spPr>
        <a:xfrm>
          <a:off x="32797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98" name="ZoneTexte 97"/>
        <xdr:cNvSpPr txBox="1"/>
      </xdr:nvSpPr>
      <xdr:spPr>
        <a:xfrm>
          <a:off x="4105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99" name="ZoneTexte 98"/>
        <xdr:cNvSpPr txBox="1"/>
      </xdr:nvSpPr>
      <xdr:spPr>
        <a:xfrm>
          <a:off x="4105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00" name="ZoneTexte 99"/>
        <xdr:cNvSpPr txBox="1"/>
      </xdr:nvSpPr>
      <xdr:spPr>
        <a:xfrm>
          <a:off x="4105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101" name="ZoneTexte 100"/>
        <xdr:cNvSpPr txBox="1"/>
      </xdr:nvSpPr>
      <xdr:spPr>
        <a:xfrm>
          <a:off x="4105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49</xdr:row>
      <xdr:rowOff>123825</xdr:rowOff>
    </xdr:from>
    <xdr:to>
      <xdr:col>5</xdr:col>
      <xdr:colOff>390525</xdr:colOff>
      <xdr:row>50</xdr:row>
      <xdr:rowOff>161925</xdr:rowOff>
    </xdr:to>
    <xdr:sp macro="" textlink="">
      <xdr:nvSpPr>
        <xdr:cNvPr id="102" name="ZoneTexte 101"/>
        <xdr:cNvSpPr txBox="1"/>
      </xdr:nvSpPr>
      <xdr:spPr>
        <a:xfrm>
          <a:off x="41052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50</xdr:row>
      <xdr:rowOff>123825</xdr:rowOff>
    </xdr:from>
    <xdr:to>
      <xdr:col>5</xdr:col>
      <xdr:colOff>390525</xdr:colOff>
      <xdr:row>51</xdr:row>
      <xdr:rowOff>0</xdr:rowOff>
    </xdr:to>
    <xdr:sp macro="" textlink="">
      <xdr:nvSpPr>
        <xdr:cNvPr id="103" name="ZoneTexte 102"/>
        <xdr:cNvSpPr txBox="1"/>
      </xdr:nvSpPr>
      <xdr:spPr>
        <a:xfrm>
          <a:off x="41052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51</xdr:row>
      <xdr:rowOff>0</xdr:rowOff>
    </xdr:from>
    <xdr:to>
      <xdr:col>5</xdr:col>
      <xdr:colOff>390525</xdr:colOff>
      <xdr:row>51</xdr:row>
      <xdr:rowOff>161925</xdr:rowOff>
    </xdr:to>
    <xdr:sp macro="" textlink="">
      <xdr:nvSpPr>
        <xdr:cNvPr id="104" name="ZoneTexte 103"/>
        <xdr:cNvSpPr txBox="1"/>
      </xdr:nvSpPr>
      <xdr:spPr>
        <a:xfrm>
          <a:off x="41052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105" name="ZoneTexte 104"/>
        <xdr:cNvSpPr txBox="1"/>
      </xdr:nvSpPr>
      <xdr:spPr>
        <a:xfrm>
          <a:off x="4105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06" name="ZoneTexte 105"/>
        <xdr:cNvSpPr txBox="1"/>
      </xdr:nvSpPr>
      <xdr:spPr>
        <a:xfrm>
          <a:off x="4105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07" name="ZoneTexte 106"/>
        <xdr:cNvSpPr txBox="1"/>
      </xdr:nvSpPr>
      <xdr:spPr>
        <a:xfrm>
          <a:off x="4105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108" name="ZoneTexte 107"/>
        <xdr:cNvSpPr txBox="1"/>
      </xdr:nvSpPr>
      <xdr:spPr>
        <a:xfrm>
          <a:off x="4105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49</xdr:row>
      <xdr:rowOff>123825</xdr:rowOff>
    </xdr:from>
    <xdr:to>
      <xdr:col>5</xdr:col>
      <xdr:colOff>390525</xdr:colOff>
      <xdr:row>50</xdr:row>
      <xdr:rowOff>161925</xdr:rowOff>
    </xdr:to>
    <xdr:sp macro="" textlink="">
      <xdr:nvSpPr>
        <xdr:cNvPr id="109" name="ZoneTexte 108"/>
        <xdr:cNvSpPr txBox="1"/>
      </xdr:nvSpPr>
      <xdr:spPr>
        <a:xfrm>
          <a:off x="41052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50</xdr:row>
      <xdr:rowOff>123825</xdr:rowOff>
    </xdr:from>
    <xdr:to>
      <xdr:col>5</xdr:col>
      <xdr:colOff>390525</xdr:colOff>
      <xdr:row>51</xdr:row>
      <xdr:rowOff>0</xdr:rowOff>
    </xdr:to>
    <xdr:sp macro="" textlink="">
      <xdr:nvSpPr>
        <xdr:cNvPr id="110" name="ZoneTexte 109"/>
        <xdr:cNvSpPr txBox="1"/>
      </xdr:nvSpPr>
      <xdr:spPr>
        <a:xfrm>
          <a:off x="41052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51</xdr:row>
      <xdr:rowOff>0</xdr:rowOff>
    </xdr:from>
    <xdr:to>
      <xdr:col>5</xdr:col>
      <xdr:colOff>390525</xdr:colOff>
      <xdr:row>51</xdr:row>
      <xdr:rowOff>161925</xdr:rowOff>
    </xdr:to>
    <xdr:sp macro="" textlink="">
      <xdr:nvSpPr>
        <xdr:cNvPr id="111" name="ZoneTexte 110"/>
        <xdr:cNvSpPr txBox="1"/>
      </xdr:nvSpPr>
      <xdr:spPr>
        <a:xfrm>
          <a:off x="41052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12" name="ZoneTexte 111"/>
        <xdr:cNvSpPr txBox="1"/>
      </xdr:nvSpPr>
      <xdr:spPr>
        <a:xfrm>
          <a:off x="49307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13" name="ZoneTexte 112"/>
        <xdr:cNvSpPr txBox="1"/>
      </xdr:nvSpPr>
      <xdr:spPr>
        <a:xfrm>
          <a:off x="4930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14" name="ZoneTexte 113"/>
        <xdr:cNvSpPr txBox="1"/>
      </xdr:nvSpPr>
      <xdr:spPr>
        <a:xfrm>
          <a:off x="4930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15" name="ZoneTexte 114"/>
        <xdr:cNvSpPr txBox="1"/>
      </xdr:nvSpPr>
      <xdr:spPr>
        <a:xfrm>
          <a:off x="49307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55</xdr:row>
      <xdr:rowOff>47625</xdr:rowOff>
    </xdr:from>
    <xdr:to>
      <xdr:col>6</xdr:col>
      <xdr:colOff>390525</xdr:colOff>
      <xdr:row>55</xdr:row>
      <xdr:rowOff>114300</xdr:rowOff>
    </xdr:to>
    <xdr:sp macro="" textlink="">
      <xdr:nvSpPr>
        <xdr:cNvPr id="117" name="ZoneTexte 116"/>
        <xdr:cNvSpPr txBox="1"/>
      </xdr:nvSpPr>
      <xdr:spPr>
        <a:xfrm>
          <a:off x="4879975" y="107537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19" name="ZoneTexte 118"/>
        <xdr:cNvSpPr txBox="1"/>
      </xdr:nvSpPr>
      <xdr:spPr>
        <a:xfrm>
          <a:off x="49307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20" name="ZoneTexte 119"/>
        <xdr:cNvSpPr txBox="1"/>
      </xdr:nvSpPr>
      <xdr:spPr>
        <a:xfrm>
          <a:off x="4930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21" name="ZoneTexte 120"/>
        <xdr:cNvSpPr txBox="1"/>
      </xdr:nvSpPr>
      <xdr:spPr>
        <a:xfrm>
          <a:off x="4930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22" name="ZoneTexte 121"/>
        <xdr:cNvSpPr txBox="1"/>
      </xdr:nvSpPr>
      <xdr:spPr>
        <a:xfrm>
          <a:off x="49307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53975</xdr:colOff>
      <xdr:row>52</xdr:row>
      <xdr:rowOff>123825</xdr:rowOff>
    </xdr:from>
    <xdr:to>
      <xdr:col>6</xdr:col>
      <xdr:colOff>517525</xdr:colOff>
      <xdr:row>53</xdr:row>
      <xdr:rowOff>187325</xdr:rowOff>
    </xdr:to>
    <xdr:sp macro="" textlink="">
      <xdr:nvSpPr>
        <xdr:cNvPr id="123" name="ZoneTexte 122"/>
        <xdr:cNvSpPr txBox="1"/>
      </xdr:nvSpPr>
      <xdr:spPr>
        <a:xfrm>
          <a:off x="5006975" y="102584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126" name="ZoneTexte 125"/>
        <xdr:cNvSpPr txBox="1"/>
      </xdr:nvSpPr>
      <xdr:spPr>
        <a:xfrm>
          <a:off x="5756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27" name="ZoneTexte 126"/>
        <xdr:cNvSpPr txBox="1"/>
      </xdr:nvSpPr>
      <xdr:spPr>
        <a:xfrm>
          <a:off x="5756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28" name="ZoneTexte 127"/>
        <xdr:cNvSpPr txBox="1"/>
      </xdr:nvSpPr>
      <xdr:spPr>
        <a:xfrm>
          <a:off x="5756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129" name="ZoneTexte 128"/>
        <xdr:cNvSpPr txBox="1"/>
      </xdr:nvSpPr>
      <xdr:spPr>
        <a:xfrm>
          <a:off x="5756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130" name="ZoneTexte 129"/>
        <xdr:cNvSpPr txBox="1"/>
      </xdr:nvSpPr>
      <xdr:spPr>
        <a:xfrm>
          <a:off x="57562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131" name="ZoneTexte 130"/>
        <xdr:cNvSpPr txBox="1"/>
      </xdr:nvSpPr>
      <xdr:spPr>
        <a:xfrm>
          <a:off x="57562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0</xdr:rowOff>
    </xdr:from>
    <xdr:to>
      <xdr:col>7</xdr:col>
      <xdr:colOff>390525</xdr:colOff>
      <xdr:row>51</xdr:row>
      <xdr:rowOff>161925</xdr:rowOff>
    </xdr:to>
    <xdr:sp macro="" textlink="">
      <xdr:nvSpPr>
        <xdr:cNvPr id="132" name="ZoneTexte 131"/>
        <xdr:cNvSpPr txBox="1"/>
      </xdr:nvSpPr>
      <xdr:spPr>
        <a:xfrm>
          <a:off x="57562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133" name="ZoneTexte 132"/>
        <xdr:cNvSpPr txBox="1"/>
      </xdr:nvSpPr>
      <xdr:spPr>
        <a:xfrm>
          <a:off x="5756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34" name="ZoneTexte 133"/>
        <xdr:cNvSpPr txBox="1"/>
      </xdr:nvSpPr>
      <xdr:spPr>
        <a:xfrm>
          <a:off x="5756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35" name="ZoneTexte 134"/>
        <xdr:cNvSpPr txBox="1"/>
      </xdr:nvSpPr>
      <xdr:spPr>
        <a:xfrm>
          <a:off x="5756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136" name="ZoneTexte 135"/>
        <xdr:cNvSpPr txBox="1"/>
      </xdr:nvSpPr>
      <xdr:spPr>
        <a:xfrm>
          <a:off x="5756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137" name="ZoneTexte 136"/>
        <xdr:cNvSpPr txBox="1"/>
      </xdr:nvSpPr>
      <xdr:spPr>
        <a:xfrm>
          <a:off x="57562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138" name="ZoneTexte 137"/>
        <xdr:cNvSpPr txBox="1"/>
      </xdr:nvSpPr>
      <xdr:spPr>
        <a:xfrm>
          <a:off x="57562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0</xdr:rowOff>
    </xdr:from>
    <xdr:to>
      <xdr:col>7</xdr:col>
      <xdr:colOff>390525</xdr:colOff>
      <xdr:row>51</xdr:row>
      <xdr:rowOff>161925</xdr:rowOff>
    </xdr:to>
    <xdr:sp macro="" textlink="">
      <xdr:nvSpPr>
        <xdr:cNvPr id="139" name="ZoneTexte 138"/>
        <xdr:cNvSpPr txBox="1"/>
      </xdr:nvSpPr>
      <xdr:spPr>
        <a:xfrm>
          <a:off x="57562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140" name="ZoneTexte 139"/>
        <xdr:cNvSpPr txBox="1"/>
      </xdr:nvSpPr>
      <xdr:spPr>
        <a:xfrm>
          <a:off x="65817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41" name="ZoneTexte 140"/>
        <xdr:cNvSpPr txBox="1"/>
      </xdr:nvSpPr>
      <xdr:spPr>
        <a:xfrm>
          <a:off x="6581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42" name="ZoneTexte 141"/>
        <xdr:cNvSpPr txBox="1"/>
      </xdr:nvSpPr>
      <xdr:spPr>
        <a:xfrm>
          <a:off x="6581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143" name="ZoneTexte 142"/>
        <xdr:cNvSpPr txBox="1"/>
      </xdr:nvSpPr>
      <xdr:spPr>
        <a:xfrm>
          <a:off x="65817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144" name="ZoneTexte 143"/>
        <xdr:cNvSpPr txBox="1"/>
      </xdr:nvSpPr>
      <xdr:spPr>
        <a:xfrm>
          <a:off x="65817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145" name="ZoneTexte 144"/>
        <xdr:cNvSpPr txBox="1"/>
      </xdr:nvSpPr>
      <xdr:spPr>
        <a:xfrm>
          <a:off x="65817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51</xdr:row>
      <xdr:rowOff>0</xdr:rowOff>
    </xdr:from>
    <xdr:to>
      <xdr:col>8</xdr:col>
      <xdr:colOff>390525</xdr:colOff>
      <xdr:row>51</xdr:row>
      <xdr:rowOff>161925</xdr:rowOff>
    </xdr:to>
    <xdr:sp macro="" textlink="">
      <xdr:nvSpPr>
        <xdr:cNvPr id="146" name="ZoneTexte 145"/>
        <xdr:cNvSpPr txBox="1"/>
      </xdr:nvSpPr>
      <xdr:spPr>
        <a:xfrm>
          <a:off x="65817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47" name="ZoneTexte 146"/>
        <xdr:cNvSpPr txBox="1"/>
      </xdr:nvSpPr>
      <xdr:spPr>
        <a:xfrm>
          <a:off x="6581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48" name="ZoneTexte 147"/>
        <xdr:cNvSpPr txBox="1"/>
      </xdr:nvSpPr>
      <xdr:spPr>
        <a:xfrm>
          <a:off x="6581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149" name="ZoneTexte 148"/>
        <xdr:cNvSpPr txBox="1"/>
      </xdr:nvSpPr>
      <xdr:spPr>
        <a:xfrm>
          <a:off x="65817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150" name="ZoneTexte 149"/>
        <xdr:cNvSpPr txBox="1"/>
      </xdr:nvSpPr>
      <xdr:spPr>
        <a:xfrm>
          <a:off x="65817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151" name="ZoneTexte 150"/>
        <xdr:cNvSpPr txBox="1"/>
      </xdr:nvSpPr>
      <xdr:spPr>
        <a:xfrm>
          <a:off x="65817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153" name="ZoneTexte 152"/>
        <xdr:cNvSpPr txBox="1"/>
      </xdr:nvSpPr>
      <xdr:spPr>
        <a:xfrm>
          <a:off x="7407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154" name="ZoneTexte 153"/>
        <xdr:cNvSpPr txBox="1"/>
      </xdr:nvSpPr>
      <xdr:spPr>
        <a:xfrm>
          <a:off x="7407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155" name="ZoneTexte 154"/>
        <xdr:cNvSpPr txBox="1"/>
      </xdr:nvSpPr>
      <xdr:spPr>
        <a:xfrm>
          <a:off x="7407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156" name="ZoneTexte 155"/>
        <xdr:cNvSpPr txBox="1"/>
      </xdr:nvSpPr>
      <xdr:spPr>
        <a:xfrm>
          <a:off x="7407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157" name="ZoneTexte 156"/>
        <xdr:cNvSpPr txBox="1"/>
      </xdr:nvSpPr>
      <xdr:spPr>
        <a:xfrm>
          <a:off x="74072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158" name="ZoneTexte 157"/>
        <xdr:cNvSpPr txBox="1"/>
      </xdr:nvSpPr>
      <xdr:spPr>
        <a:xfrm>
          <a:off x="74072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51</xdr:row>
      <xdr:rowOff>0</xdr:rowOff>
    </xdr:from>
    <xdr:to>
      <xdr:col>9</xdr:col>
      <xdr:colOff>390525</xdr:colOff>
      <xdr:row>51</xdr:row>
      <xdr:rowOff>161925</xdr:rowOff>
    </xdr:to>
    <xdr:sp macro="" textlink="">
      <xdr:nvSpPr>
        <xdr:cNvPr id="159" name="ZoneTexte 158"/>
        <xdr:cNvSpPr txBox="1"/>
      </xdr:nvSpPr>
      <xdr:spPr>
        <a:xfrm>
          <a:off x="74072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160" name="ZoneTexte 159"/>
        <xdr:cNvSpPr txBox="1"/>
      </xdr:nvSpPr>
      <xdr:spPr>
        <a:xfrm>
          <a:off x="74072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161" name="ZoneTexte 160"/>
        <xdr:cNvSpPr txBox="1"/>
      </xdr:nvSpPr>
      <xdr:spPr>
        <a:xfrm>
          <a:off x="74072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162" name="ZoneTexte 161"/>
        <xdr:cNvSpPr txBox="1"/>
      </xdr:nvSpPr>
      <xdr:spPr>
        <a:xfrm>
          <a:off x="74072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163" name="ZoneTexte 162"/>
        <xdr:cNvSpPr txBox="1"/>
      </xdr:nvSpPr>
      <xdr:spPr>
        <a:xfrm>
          <a:off x="74072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164" name="ZoneTexte 163"/>
        <xdr:cNvSpPr txBox="1"/>
      </xdr:nvSpPr>
      <xdr:spPr>
        <a:xfrm>
          <a:off x="74072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166" name="ZoneTexte 165"/>
        <xdr:cNvSpPr txBox="1"/>
      </xdr:nvSpPr>
      <xdr:spPr>
        <a:xfrm>
          <a:off x="8232775" y="85693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167" name="ZoneTexte 166"/>
        <xdr:cNvSpPr txBox="1"/>
      </xdr:nvSpPr>
      <xdr:spPr>
        <a:xfrm>
          <a:off x="8232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168" name="ZoneTexte 167"/>
        <xdr:cNvSpPr txBox="1"/>
      </xdr:nvSpPr>
      <xdr:spPr>
        <a:xfrm>
          <a:off x="8232775" y="87852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169" name="ZoneTexte 168"/>
        <xdr:cNvSpPr txBox="1"/>
      </xdr:nvSpPr>
      <xdr:spPr>
        <a:xfrm>
          <a:off x="8232775" y="89630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170" name="ZoneTexte 169"/>
        <xdr:cNvSpPr txBox="1"/>
      </xdr:nvSpPr>
      <xdr:spPr>
        <a:xfrm>
          <a:off x="8232775" y="91408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0</xdr:rowOff>
    </xdr:to>
    <xdr:sp macro="" textlink="">
      <xdr:nvSpPr>
        <xdr:cNvPr id="171" name="ZoneTexte 170"/>
        <xdr:cNvSpPr txBox="1"/>
      </xdr:nvSpPr>
      <xdr:spPr>
        <a:xfrm>
          <a:off x="8232775" y="93186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51</xdr:row>
      <xdr:rowOff>0</xdr:rowOff>
    </xdr:from>
    <xdr:to>
      <xdr:col>10</xdr:col>
      <xdr:colOff>390525</xdr:colOff>
      <xdr:row>51</xdr:row>
      <xdr:rowOff>161925</xdr:rowOff>
    </xdr:to>
    <xdr:sp macro="" textlink="">
      <xdr:nvSpPr>
        <xdr:cNvPr id="172" name="ZoneTexte 171"/>
        <xdr:cNvSpPr txBox="1"/>
      </xdr:nvSpPr>
      <xdr:spPr>
        <a:xfrm>
          <a:off x="8232775" y="9496425"/>
          <a:ext cx="4635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49</xdr:row>
      <xdr:rowOff>123825</xdr:rowOff>
    </xdr:from>
    <xdr:to>
      <xdr:col>2</xdr:col>
      <xdr:colOff>390525</xdr:colOff>
      <xdr:row>50</xdr:row>
      <xdr:rowOff>161925</xdr:rowOff>
    </xdr:to>
    <xdr:sp macro="" textlink="">
      <xdr:nvSpPr>
        <xdr:cNvPr id="173" name="ZoneTexte 172"/>
        <xdr:cNvSpPr txBox="1"/>
      </xdr:nvSpPr>
      <xdr:spPr>
        <a:xfrm>
          <a:off x="6530975" y="113506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46</xdr:row>
      <xdr:rowOff>123825</xdr:rowOff>
    </xdr:from>
    <xdr:to>
      <xdr:col>2</xdr:col>
      <xdr:colOff>390525</xdr:colOff>
      <xdr:row>47</xdr:row>
      <xdr:rowOff>161925</xdr:rowOff>
    </xdr:to>
    <xdr:sp macro="" textlink="">
      <xdr:nvSpPr>
        <xdr:cNvPr id="174" name="ZoneTexte 173"/>
        <xdr:cNvSpPr txBox="1"/>
      </xdr:nvSpPr>
      <xdr:spPr>
        <a:xfrm>
          <a:off x="6530975" y="107537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46</xdr:row>
      <xdr:rowOff>123825</xdr:rowOff>
    </xdr:from>
    <xdr:to>
      <xdr:col>3</xdr:col>
      <xdr:colOff>390525</xdr:colOff>
      <xdr:row>47</xdr:row>
      <xdr:rowOff>161925</xdr:rowOff>
    </xdr:to>
    <xdr:sp macro="" textlink="">
      <xdr:nvSpPr>
        <xdr:cNvPr id="175" name="ZoneTexte 174"/>
        <xdr:cNvSpPr txBox="1"/>
      </xdr:nvSpPr>
      <xdr:spPr>
        <a:xfrm>
          <a:off x="1577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3</xdr:col>
      <xdr:colOff>390525</xdr:colOff>
      <xdr:row>48</xdr:row>
      <xdr:rowOff>161925</xdr:rowOff>
    </xdr:to>
    <xdr:sp macro="" textlink="">
      <xdr:nvSpPr>
        <xdr:cNvPr id="176" name="ZoneTexte 175"/>
        <xdr:cNvSpPr txBox="1"/>
      </xdr:nvSpPr>
      <xdr:spPr>
        <a:xfrm>
          <a:off x="1577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3</xdr:col>
      <xdr:colOff>390525</xdr:colOff>
      <xdr:row>48</xdr:row>
      <xdr:rowOff>161925</xdr:rowOff>
    </xdr:to>
    <xdr:sp macro="" textlink="">
      <xdr:nvSpPr>
        <xdr:cNvPr id="177" name="ZoneTexte 176"/>
        <xdr:cNvSpPr txBox="1"/>
      </xdr:nvSpPr>
      <xdr:spPr>
        <a:xfrm>
          <a:off x="1577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48</xdr:row>
      <xdr:rowOff>123825</xdr:rowOff>
    </xdr:from>
    <xdr:to>
      <xdr:col>3</xdr:col>
      <xdr:colOff>390525</xdr:colOff>
      <xdr:row>49</xdr:row>
      <xdr:rowOff>161925</xdr:rowOff>
    </xdr:to>
    <xdr:sp macro="" textlink="">
      <xdr:nvSpPr>
        <xdr:cNvPr id="178" name="ZoneTexte 177"/>
        <xdr:cNvSpPr txBox="1"/>
      </xdr:nvSpPr>
      <xdr:spPr>
        <a:xfrm>
          <a:off x="1577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46</xdr:row>
      <xdr:rowOff>123825</xdr:rowOff>
    </xdr:from>
    <xdr:to>
      <xdr:col>4</xdr:col>
      <xdr:colOff>390525</xdr:colOff>
      <xdr:row>47</xdr:row>
      <xdr:rowOff>161925</xdr:rowOff>
    </xdr:to>
    <xdr:sp macro="" textlink="">
      <xdr:nvSpPr>
        <xdr:cNvPr id="181" name="ZoneTexte 180"/>
        <xdr:cNvSpPr txBox="1"/>
      </xdr:nvSpPr>
      <xdr:spPr>
        <a:xfrm>
          <a:off x="2403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182" name="ZoneTexte 181"/>
        <xdr:cNvSpPr txBox="1"/>
      </xdr:nvSpPr>
      <xdr:spPr>
        <a:xfrm>
          <a:off x="2403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183" name="ZoneTexte 182"/>
        <xdr:cNvSpPr txBox="1"/>
      </xdr:nvSpPr>
      <xdr:spPr>
        <a:xfrm>
          <a:off x="2403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48</xdr:row>
      <xdr:rowOff>123825</xdr:rowOff>
    </xdr:from>
    <xdr:to>
      <xdr:col>4</xdr:col>
      <xdr:colOff>390525</xdr:colOff>
      <xdr:row>49</xdr:row>
      <xdr:rowOff>161925</xdr:rowOff>
    </xdr:to>
    <xdr:sp macro="" textlink="">
      <xdr:nvSpPr>
        <xdr:cNvPr id="184" name="ZoneTexte 183"/>
        <xdr:cNvSpPr txBox="1"/>
      </xdr:nvSpPr>
      <xdr:spPr>
        <a:xfrm>
          <a:off x="2403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46</xdr:row>
      <xdr:rowOff>123825</xdr:rowOff>
    </xdr:from>
    <xdr:to>
      <xdr:col>3</xdr:col>
      <xdr:colOff>390525</xdr:colOff>
      <xdr:row>47</xdr:row>
      <xdr:rowOff>161925</xdr:rowOff>
    </xdr:to>
    <xdr:sp macro="" textlink="">
      <xdr:nvSpPr>
        <xdr:cNvPr id="186" name="ZoneTexte 185"/>
        <xdr:cNvSpPr txBox="1"/>
      </xdr:nvSpPr>
      <xdr:spPr>
        <a:xfrm>
          <a:off x="1577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87" name="ZoneTexte 186"/>
        <xdr:cNvSpPr txBox="1"/>
      </xdr:nvSpPr>
      <xdr:spPr>
        <a:xfrm>
          <a:off x="2403475" y="90646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88" name="ZoneTexte 187"/>
        <xdr:cNvSpPr txBox="1"/>
      </xdr:nvSpPr>
      <xdr:spPr>
        <a:xfrm>
          <a:off x="2403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89" name="ZoneTexte 188"/>
        <xdr:cNvSpPr txBox="1"/>
      </xdr:nvSpPr>
      <xdr:spPr>
        <a:xfrm>
          <a:off x="2403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90" name="ZoneTexte 189"/>
        <xdr:cNvSpPr txBox="1"/>
      </xdr:nvSpPr>
      <xdr:spPr>
        <a:xfrm>
          <a:off x="2403475" y="94710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191" name="ZoneTexte 190"/>
        <xdr:cNvSpPr txBox="1"/>
      </xdr:nvSpPr>
      <xdr:spPr>
        <a:xfrm>
          <a:off x="2403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92" name="ZoneTexte 191"/>
        <xdr:cNvSpPr txBox="1"/>
      </xdr:nvSpPr>
      <xdr:spPr>
        <a:xfrm>
          <a:off x="2403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93" name="ZoneTexte 192"/>
        <xdr:cNvSpPr txBox="1"/>
      </xdr:nvSpPr>
      <xdr:spPr>
        <a:xfrm>
          <a:off x="2403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194" name="ZoneTexte 193"/>
        <xdr:cNvSpPr txBox="1"/>
      </xdr:nvSpPr>
      <xdr:spPr>
        <a:xfrm>
          <a:off x="2403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95" name="ZoneTexte 194"/>
        <xdr:cNvSpPr txBox="1"/>
      </xdr:nvSpPr>
      <xdr:spPr>
        <a:xfrm>
          <a:off x="3228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96" name="ZoneTexte 195"/>
        <xdr:cNvSpPr txBox="1"/>
      </xdr:nvSpPr>
      <xdr:spPr>
        <a:xfrm>
          <a:off x="3228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97" name="ZoneTexte 196"/>
        <xdr:cNvSpPr txBox="1"/>
      </xdr:nvSpPr>
      <xdr:spPr>
        <a:xfrm>
          <a:off x="3228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98" name="ZoneTexte 197"/>
        <xdr:cNvSpPr txBox="1"/>
      </xdr:nvSpPr>
      <xdr:spPr>
        <a:xfrm>
          <a:off x="3228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201" name="ZoneTexte 200"/>
        <xdr:cNvSpPr txBox="1"/>
      </xdr:nvSpPr>
      <xdr:spPr>
        <a:xfrm>
          <a:off x="2403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202" name="ZoneTexte 201"/>
        <xdr:cNvSpPr txBox="1"/>
      </xdr:nvSpPr>
      <xdr:spPr>
        <a:xfrm>
          <a:off x="2403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203" name="ZoneTexte 202"/>
        <xdr:cNvSpPr txBox="1"/>
      </xdr:nvSpPr>
      <xdr:spPr>
        <a:xfrm>
          <a:off x="2403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204" name="ZoneTexte 203"/>
        <xdr:cNvSpPr txBox="1"/>
      </xdr:nvSpPr>
      <xdr:spPr>
        <a:xfrm>
          <a:off x="2403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05" name="ZoneTexte 204"/>
        <xdr:cNvSpPr txBox="1"/>
      </xdr:nvSpPr>
      <xdr:spPr>
        <a:xfrm>
          <a:off x="3228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06" name="ZoneTexte 205"/>
        <xdr:cNvSpPr txBox="1"/>
      </xdr:nvSpPr>
      <xdr:spPr>
        <a:xfrm>
          <a:off x="3228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07" name="ZoneTexte 206"/>
        <xdr:cNvSpPr txBox="1"/>
      </xdr:nvSpPr>
      <xdr:spPr>
        <a:xfrm>
          <a:off x="3228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08" name="ZoneTexte 207"/>
        <xdr:cNvSpPr txBox="1"/>
      </xdr:nvSpPr>
      <xdr:spPr>
        <a:xfrm>
          <a:off x="3228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209" name="ZoneTexte 208"/>
        <xdr:cNvSpPr txBox="1"/>
      </xdr:nvSpPr>
      <xdr:spPr>
        <a:xfrm>
          <a:off x="2403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10" name="ZoneTexte 209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11" name="ZoneTexte 210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12" name="ZoneTexte 211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13" name="ZoneTexte 212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49</xdr:row>
      <xdr:rowOff>123825</xdr:rowOff>
    </xdr:from>
    <xdr:to>
      <xdr:col>6</xdr:col>
      <xdr:colOff>390525</xdr:colOff>
      <xdr:row>50</xdr:row>
      <xdr:rowOff>161925</xdr:rowOff>
    </xdr:to>
    <xdr:sp macro="" textlink="">
      <xdr:nvSpPr>
        <xdr:cNvPr id="214" name="ZoneTexte 213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50</xdr:row>
      <xdr:rowOff>123825</xdr:rowOff>
    </xdr:from>
    <xdr:to>
      <xdr:col>6</xdr:col>
      <xdr:colOff>390525</xdr:colOff>
      <xdr:row>51</xdr:row>
      <xdr:rowOff>0</xdr:rowOff>
    </xdr:to>
    <xdr:sp macro="" textlink="">
      <xdr:nvSpPr>
        <xdr:cNvPr id="215" name="ZoneTexte 214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16" name="ZoneTexte 215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17" name="ZoneTexte 21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18" name="ZoneTexte 21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19" name="ZoneTexte 218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20" name="ZoneTexte 219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21" name="ZoneTexte 220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22" name="ZoneTexte 221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23" name="ZoneTexte 222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24" name="ZoneTexte 223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25" name="ZoneTexte 224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26" name="ZoneTexte 225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27" name="ZoneTexte 226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49</xdr:row>
      <xdr:rowOff>123825</xdr:rowOff>
    </xdr:from>
    <xdr:to>
      <xdr:col>6</xdr:col>
      <xdr:colOff>390525</xdr:colOff>
      <xdr:row>50</xdr:row>
      <xdr:rowOff>161925</xdr:rowOff>
    </xdr:to>
    <xdr:sp macro="" textlink="">
      <xdr:nvSpPr>
        <xdr:cNvPr id="228" name="ZoneTexte 227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50</xdr:row>
      <xdr:rowOff>123825</xdr:rowOff>
    </xdr:from>
    <xdr:to>
      <xdr:col>6</xdr:col>
      <xdr:colOff>390525</xdr:colOff>
      <xdr:row>51</xdr:row>
      <xdr:rowOff>0</xdr:rowOff>
    </xdr:to>
    <xdr:sp macro="" textlink="">
      <xdr:nvSpPr>
        <xdr:cNvPr id="229" name="ZoneTexte 228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30" name="ZoneTexte 229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31" name="ZoneTexte 230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32" name="ZoneTexte 231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33" name="ZoneTexte 232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49</xdr:row>
      <xdr:rowOff>123825</xdr:rowOff>
    </xdr:from>
    <xdr:to>
      <xdr:col>6</xdr:col>
      <xdr:colOff>390525</xdr:colOff>
      <xdr:row>50</xdr:row>
      <xdr:rowOff>161925</xdr:rowOff>
    </xdr:to>
    <xdr:sp macro="" textlink="">
      <xdr:nvSpPr>
        <xdr:cNvPr id="234" name="ZoneTexte 233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50</xdr:row>
      <xdr:rowOff>123825</xdr:rowOff>
    </xdr:from>
    <xdr:to>
      <xdr:col>6</xdr:col>
      <xdr:colOff>390525</xdr:colOff>
      <xdr:row>51</xdr:row>
      <xdr:rowOff>0</xdr:rowOff>
    </xdr:to>
    <xdr:sp macro="" textlink="">
      <xdr:nvSpPr>
        <xdr:cNvPr id="235" name="ZoneTexte 234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36" name="ZoneTexte 235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37" name="ZoneTexte 23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38" name="ZoneTexte 23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39" name="ZoneTexte 238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40" name="ZoneTexte 239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41" name="ZoneTexte 240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42" name="ZoneTexte 241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43" name="ZoneTexte 242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44" name="ZoneTexte 243"/>
        <xdr:cNvSpPr txBox="1"/>
      </xdr:nvSpPr>
      <xdr:spPr>
        <a:xfrm>
          <a:off x="4054475" y="90646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45" name="ZoneTexte 244"/>
        <xdr:cNvSpPr txBox="1"/>
      </xdr:nvSpPr>
      <xdr:spPr>
        <a:xfrm>
          <a:off x="4054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46" name="ZoneTexte 245"/>
        <xdr:cNvSpPr txBox="1"/>
      </xdr:nvSpPr>
      <xdr:spPr>
        <a:xfrm>
          <a:off x="4054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47" name="ZoneTexte 246"/>
        <xdr:cNvSpPr txBox="1"/>
      </xdr:nvSpPr>
      <xdr:spPr>
        <a:xfrm>
          <a:off x="4054475" y="94710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48" name="ZoneTexte 247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49" name="ZoneTexte 248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50" name="ZoneTexte 249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51" name="ZoneTexte 250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52" name="ZoneTexte 251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53" name="ZoneTexte 252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54" name="ZoneTexte 253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55" name="ZoneTexte 254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56" name="ZoneTexte 255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57" name="ZoneTexte 256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58" name="ZoneTexte 257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59" name="ZoneTexte 258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60" name="ZoneTexte 259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61" name="ZoneTexte 260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62" name="ZoneTexte 261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63" name="ZoneTexte 262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64" name="ZoneTexte 263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65" name="ZoneTexte 264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66" name="ZoneTexte 265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67" name="ZoneTexte 266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68" name="ZoneTexte 267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269" name="ZoneTexte 268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270" name="ZoneTexte 269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71" name="ZoneTexte 270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72" name="ZoneTexte 271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73" name="ZoneTexte 272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274" name="ZoneTexte 273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75" name="ZoneTexte 274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76" name="ZoneTexte 275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77" name="ZoneTexte 27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278" name="ZoneTexte 277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79" name="ZoneTexte 278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80" name="ZoneTexte 279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81" name="ZoneTexte 280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82" name="ZoneTexte 281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283" name="ZoneTexte 282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284" name="ZoneTexte 283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85" name="ZoneTexte 284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86" name="ZoneTexte 285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87" name="ZoneTexte 286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88" name="ZoneTexte 287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289" name="ZoneTexte 288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290" name="ZoneTexte 289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91" name="ZoneTexte 290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92" name="ZoneTexte 291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93" name="ZoneTexte 292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294" name="ZoneTexte 293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95" name="ZoneTexte 294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96" name="ZoneTexte 295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97" name="ZoneTexte 29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298" name="ZoneTexte 297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99" name="ZoneTexte 298"/>
        <xdr:cNvSpPr txBox="1"/>
      </xdr:nvSpPr>
      <xdr:spPr>
        <a:xfrm>
          <a:off x="4054475" y="90646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00" name="ZoneTexte 299"/>
        <xdr:cNvSpPr txBox="1"/>
      </xdr:nvSpPr>
      <xdr:spPr>
        <a:xfrm>
          <a:off x="4054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01" name="ZoneTexte 300"/>
        <xdr:cNvSpPr txBox="1"/>
      </xdr:nvSpPr>
      <xdr:spPr>
        <a:xfrm>
          <a:off x="4054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02" name="ZoneTexte 301"/>
        <xdr:cNvSpPr txBox="1"/>
      </xdr:nvSpPr>
      <xdr:spPr>
        <a:xfrm>
          <a:off x="4054475" y="94710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303" name="ZoneTexte 302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304" name="ZoneTexte 303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305" name="ZoneTexte 304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306" name="ZoneTexte 305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07" name="ZoneTexte 306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08" name="ZoneTexte 30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09" name="ZoneTexte 308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10" name="ZoneTexte 309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311" name="ZoneTexte 310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312" name="ZoneTexte 311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313" name="ZoneTexte 312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314" name="ZoneTexte 313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15" name="ZoneTexte 314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16" name="ZoneTexte 315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17" name="ZoneTexte 31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18" name="ZoneTexte 317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319" name="ZoneTexte 318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20" name="ZoneTexte 319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21" name="ZoneTexte 320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22" name="ZoneTexte 321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23" name="ZoneTexte 322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24" name="ZoneTexte 323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25" name="ZoneTexte 324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26" name="ZoneTexte 325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27" name="ZoneTexte 32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28" name="ZoneTexte 32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29" name="ZoneTexte 328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30" name="ZoneTexte 329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31" name="ZoneTexte 330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32" name="ZoneTexte 331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33" name="ZoneTexte 332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34" name="ZoneTexte 333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35" name="ZoneTexte 334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36" name="ZoneTexte 335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37" name="ZoneTexte 336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38" name="ZoneTexte 337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39" name="ZoneTexte 338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40" name="ZoneTexte 339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41" name="ZoneTexte 340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42" name="ZoneTexte 341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43" name="ZoneTexte 342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44" name="ZoneTexte 343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45" name="ZoneTexte 344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46" name="ZoneTexte 345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47" name="ZoneTexte 346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48" name="ZoneTexte 347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49" name="ZoneTexte 348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50" name="ZoneTexte 349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51" name="ZoneTexte 350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52" name="ZoneTexte 351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53" name="ZoneTexte 352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54" name="ZoneTexte 353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55" name="ZoneTexte 354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56" name="ZoneTexte 355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57" name="ZoneTexte 356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58" name="ZoneTexte 35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59" name="ZoneTexte 358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60" name="ZoneTexte 359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61" name="ZoneTexte 360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62" name="ZoneTexte 361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63" name="ZoneTexte 362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64" name="ZoneTexte 363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65" name="ZoneTexte 364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66" name="ZoneTexte 365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67" name="ZoneTexte 366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68" name="ZoneTexte 367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69" name="ZoneTexte 368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70" name="ZoneTexte 369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71" name="ZoneTexte 370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72" name="ZoneTexte 371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73" name="ZoneTexte 372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74" name="ZoneTexte 373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75" name="ZoneTexte 374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76" name="ZoneTexte 375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77" name="ZoneTexte 376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78" name="ZoneTexte 37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79" name="ZoneTexte 378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80" name="ZoneTexte 379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81" name="ZoneTexte 380"/>
        <xdr:cNvSpPr txBox="1"/>
      </xdr:nvSpPr>
      <xdr:spPr>
        <a:xfrm>
          <a:off x="4054475" y="90646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82" name="ZoneTexte 381"/>
        <xdr:cNvSpPr txBox="1"/>
      </xdr:nvSpPr>
      <xdr:spPr>
        <a:xfrm>
          <a:off x="4054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83" name="ZoneTexte 382"/>
        <xdr:cNvSpPr txBox="1"/>
      </xdr:nvSpPr>
      <xdr:spPr>
        <a:xfrm>
          <a:off x="4054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84" name="ZoneTexte 383"/>
        <xdr:cNvSpPr txBox="1"/>
      </xdr:nvSpPr>
      <xdr:spPr>
        <a:xfrm>
          <a:off x="4054475" y="94710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85" name="ZoneTexte 384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86" name="ZoneTexte 385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87" name="ZoneTexte 386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88" name="ZoneTexte 387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89" name="ZoneTexte 388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90" name="ZoneTexte 389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91" name="ZoneTexte 390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92" name="ZoneTexte 391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93" name="ZoneTexte 392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94" name="ZoneTexte 393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95" name="ZoneTexte 394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96" name="ZoneTexte 395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97" name="ZoneTexte 396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98" name="ZoneTexte 39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99" name="ZoneTexte 398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00" name="ZoneTexte 399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401" name="ZoneTexte 400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02" name="ZoneTexte 401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03" name="ZoneTexte 402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04" name="ZoneTexte 403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05" name="ZoneTexte 404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406" name="ZoneTexte 405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407" name="ZoneTexte 406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08" name="ZoneTexte 407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09" name="ZoneTexte 408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10" name="ZoneTexte 409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11" name="ZoneTexte 410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412" name="ZoneTexte 411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413" name="ZoneTexte 412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14" name="ZoneTexte 413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15" name="ZoneTexte 414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16" name="ZoneTexte 415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17" name="ZoneTexte 416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418" name="ZoneTexte 417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419" name="ZoneTexte 418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20" name="ZoneTexte 419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21" name="ZoneTexte 420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22" name="ZoneTexte 421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23" name="ZoneTexte 422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24" name="ZoneTexte 423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25" name="ZoneTexte 424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26" name="ZoneTexte 425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27" name="ZoneTexte 426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28" name="ZoneTexte 427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29" name="ZoneTexte 428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30" name="ZoneTexte 429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31" name="ZoneTexte 430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32" name="ZoneTexte 431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433" name="ZoneTexte 432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434" name="ZoneTexte 433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35" name="ZoneTexte 434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36" name="ZoneTexte 435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37" name="ZoneTexte 43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38" name="ZoneTexte 437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39" name="ZoneTexte 438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40" name="ZoneTexte 439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41" name="ZoneTexte 440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42" name="ZoneTexte 441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43" name="ZoneTexte 442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44" name="ZoneTexte 443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45" name="ZoneTexte 444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46" name="ZoneTexte 445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447" name="ZoneTexte 446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448" name="ZoneTexte 447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49" name="ZoneTexte 448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50" name="ZoneTexte 449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51" name="ZoneTexte 450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52" name="ZoneTexte 451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453" name="ZoneTexte 452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454" name="ZoneTexte 453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55" name="ZoneTexte 454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56" name="ZoneTexte 455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57" name="ZoneTexte 45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58" name="ZoneTexte 457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59" name="ZoneTexte 458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60" name="ZoneTexte 459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61" name="ZoneTexte 460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62" name="ZoneTexte 461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63" name="ZoneTexte 462"/>
        <xdr:cNvSpPr txBox="1"/>
      </xdr:nvSpPr>
      <xdr:spPr>
        <a:xfrm>
          <a:off x="4054475" y="90646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64" name="ZoneTexte 463"/>
        <xdr:cNvSpPr txBox="1"/>
      </xdr:nvSpPr>
      <xdr:spPr>
        <a:xfrm>
          <a:off x="4054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65" name="ZoneTexte 464"/>
        <xdr:cNvSpPr txBox="1"/>
      </xdr:nvSpPr>
      <xdr:spPr>
        <a:xfrm>
          <a:off x="4054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66" name="ZoneTexte 465"/>
        <xdr:cNvSpPr txBox="1"/>
      </xdr:nvSpPr>
      <xdr:spPr>
        <a:xfrm>
          <a:off x="4054475" y="94710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67" name="ZoneTexte 466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68" name="ZoneTexte 467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69" name="ZoneTexte 468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70" name="ZoneTexte 469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71" name="ZoneTexte 470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72" name="ZoneTexte 471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73" name="ZoneTexte 472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74" name="ZoneTexte 473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75" name="ZoneTexte 474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76" name="ZoneTexte 475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77" name="ZoneTexte 476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78" name="ZoneTexte 477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79" name="ZoneTexte 478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80" name="ZoneTexte 479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81" name="ZoneTexte 480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82" name="ZoneTexte 481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83" name="ZoneTexte 482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84" name="ZoneTexte 483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85" name="ZoneTexte 484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86" name="ZoneTexte 485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87" name="ZoneTexte 486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488" name="ZoneTexte 487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0</xdr:rowOff>
    </xdr:to>
    <xdr:sp macro="" textlink="">
      <xdr:nvSpPr>
        <xdr:cNvPr id="489" name="ZoneTexte 488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90" name="ZoneTexte 489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91" name="ZoneTexte 490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92" name="ZoneTexte 491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93" name="ZoneTexte 492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494" name="ZoneTexte 493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0</xdr:rowOff>
    </xdr:to>
    <xdr:sp macro="" textlink="">
      <xdr:nvSpPr>
        <xdr:cNvPr id="495" name="ZoneTexte 494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96" name="ZoneTexte 495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97" name="ZoneTexte 49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98" name="ZoneTexte 49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99" name="ZoneTexte 498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500" name="ZoneTexte 499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0</xdr:rowOff>
    </xdr:to>
    <xdr:sp macro="" textlink="">
      <xdr:nvSpPr>
        <xdr:cNvPr id="501" name="ZoneTexte 500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502" name="ZoneTexte 501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503" name="ZoneTexte 502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504" name="ZoneTexte 503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505" name="ZoneTexte 504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506" name="ZoneTexte 505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507" name="ZoneTexte 50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508" name="ZoneTexte 50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509" name="ZoneTexte 508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510" name="ZoneTexte 509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46</xdr:row>
      <xdr:rowOff>123825</xdr:rowOff>
    </xdr:from>
    <xdr:to>
      <xdr:col>2</xdr:col>
      <xdr:colOff>390525</xdr:colOff>
      <xdr:row>47</xdr:row>
      <xdr:rowOff>161925</xdr:rowOff>
    </xdr:to>
    <xdr:sp macro="" textlink="">
      <xdr:nvSpPr>
        <xdr:cNvPr id="2" name="ZoneTexte 1"/>
        <xdr:cNvSpPr txBox="1"/>
      </xdr:nvSpPr>
      <xdr:spPr>
        <a:xfrm>
          <a:off x="1577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47</xdr:row>
      <xdr:rowOff>123825</xdr:rowOff>
    </xdr:from>
    <xdr:to>
      <xdr:col>2</xdr:col>
      <xdr:colOff>390525</xdr:colOff>
      <xdr:row>48</xdr:row>
      <xdr:rowOff>161925</xdr:rowOff>
    </xdr:to>
    <xdr:sp macro="" textlink="">
      <xdr:nvSpPr>
        <xdr:cNvPr id="3" name="ZoneTexte 2"/>
        <xdr:cNvSpPr txBox="1"/>
      </xdr:nvSpPr>
      <xdr:spPr>
        <a:xfrm>
          <a:off x="1577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47</xdr:row>
      <xdr:rowOff>123825</xdr:rowOff>
    </xdr:from>
    <xdr:to>
      <xdr:col>2</xdr:col>
      <xdr:colOff>390525</xdr:colOff>
      <xdr:row>48</xdr:row>
      <xdr:rowOff>161925</xdr:rowOff>
    </xdr:to>
    <xdr:sp macro="" textlink="">
      <xdr:nvSpPr>
        <xdr:cNvPr id="4" name="ZoneTexte 3"/>
        <xdr:cNvSpPr txBox="1"/>
      </xdr:nvSpPr>
      <xdr:spPr>
        <a:xfrm>
          <a:off x="1577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48</xdr:row>
      <xdr:rowOff>123825</xdr:rowOff>
    </xdr:from>
    <xdr:to>
      <xdr:col>2</xdr:col>
      <xdr:colOff>390525</xdr:colOff>
      <xdr:row>49</xdr:row>
      <xdr:rowOff>161925</xdr:rowOff>
    </xdr:to>
    <xdr:sp macro="" textlink="">
      <xdr:nvSpPr>
        <xdr:cNvPr id="5" name="ZoneTexte 4"/>
        <xdr:cNvSpPr txBox="1"/>
      </xdr:nvSpPr>
      <xdr:spPr>
        <a:xfrm>
          <a:off x="1577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49</xdr:row>
      <xdr:rowOff>123825</xdr:rowOff>
    </xdr:from>
    <xdr:to>
      <xdr:col>2</xdr:col>
      <xdr:colOff>390525</xdr:colOff>
      <xdr:row>50</xdr:row>
      <xdr:rowOff>161925</xdr:rowOff>
    </xdr:to>
    <xdr:sp macro="" textlink="">
      <xdr:nvSpPr>
        <xdr:cNvPr id="6" name="ZoneTexte 5"/>
        <xdr:cNvSpPr txBox="1"/>
      </xdr:nvSpPr>
      <xdr:spPr>
        <a:xfrm>
          <a:off x="1577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50</xdr:row>
      <xdr:rowOff>123825</xdr:rowOff>
    </xdr:from>
    <xdr:to>
      <xdr:col>2</xdr:col>
      <xdr:colOff>390525</xdr:colOff>
      <xdr:row>51</xdr:row>
      <xdr:rowOff>0</xdr:rowOff>
    </xdr:to>
    <xdr:sp macro="" textlink="">
      <xdr:nvSpPr>
        <xdr:cNvPr id="7" name="ZoneTexte 6"/>
        <xdr:cNvSpPr txBox="1"/>
      </xdr:nvSpPr>
      <xdr:spPr>
        <a:xfrm>
          <a:off x="1577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51</xdr:row>
      <xdr:rowOff>0</xdr:rowOff>
    </xdr:from>
    <xdr:to>
      <xdr:col>2</xdr:col>
      <xdr:colOff>390525</xdr:colOff>
      <xdr:row>51</xdr:row>
      <xdr:rowOff>161925</xdr:rowOff>
    </xdr:to>
    <xdr:sp macro="" textlink="">
      <xdr:nvSpPr>
        <xdr:cNvPr id="8" name="ZoneTexte 7"/>
        <xdr:cNvSpPr txBox="1"/>
      </xdr:nvSpPr>
      <xdr:spPr>
        <a:xfrm>
          <a:off x="15779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46</xdr:row>
      <xdr:rowOff>123825</xdr:rowOff>
    </xdr:from>
    <xdr:to>
      <xdr:col>4</xdr:col>
      <xdr:colOff>390525</xdr:colOff>
      <xdr:row>47</xdr:row>
      <xdr:rowOff>161925</xdr:rowOff>
    </xdr:to>
    <xdr:sp macro="" textlink="">
      <xdr:nvSpPr>
        <xdr:cNvPr id="9" name="ZoneTexte 8"/>
        <xdr:cNvSpPr txBox="1"/>
      </xdr:nvSpPr>
      <xdr:spPr>
        <a:xfrm>
          <a:off x="2403475" y="90646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10" name="ZoneTexte 9"/>
        <xdr:cNvSpPr txBox="1"/>
      </xdr:nvSpPr>
      <xdr:spPr>
        <a:xfrm>
          <a:off x="2403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11" name="ZoneTexte 10"/>
        <xdr:cNvSpPr txBox="1"/>
      </xdr:nvSpPr>
      <xdr:spPr>
        <a:xfrm>
          <a:off x="2403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48</xdr:row>
      <xdr:rowOff>123825</xdr:rowOff>
    </xdr:from>
    <xdr:to>
      <xdr:col>4</xdr:col>
      <xdr:colOff>390525</xdr:colOff>
      <xdr:row>49</xdr:row>
      <xdr:rowOff>161925</xdr:rowOff>
    </xdr:to>
    <xdr:sp macro="" textlink="">
      <xdr:nvSpPr>
        <xdr:cNvPr id="12" name="ZoneTexte 11"/>
        <xdr:cNvSpPr txBox="1"/>
      </xdr:nvSpPr>
      <xdr:spPr>
        <a:xfrm>
          <a:off x="2403475" y="94710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13" name="ZoneTexte 12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4" name="ZoneTexte 13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5" name="ZoneTexte 14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16" name="ZoneTexte 15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49</xdr:row>
      <xdr:rowOff>123825</xdr:rowOff>
    </xdr:from>
    <xdr:to>
      <xdr:col>5</xdr:col>
      <xdr:colOff>390525</xdr:colOff>
      <xdr:row>50</xdr:row>
      <xdr:rowOff>161925</xdr:rowOff>
    </xdr:to>
    <xdr:sp macro="" textlink="">
      <xdr:nvSpPr>
        <xdr:cNvPr id="17" name="ZoneTexte 16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50</xdr:row>
      <xdr:rowOff>123825</xdr:rowOff>
    </xdr:from>
    <xdr:to>
      <xdr:col>5</xdr:col>
      <xdr:colOff>390525</xdr:colOff>
      <xdr:row>51</xdr:row>
      <xdr:rowOff>0</xdr:rowOff>
    </xdr:to>
    <xdr:sp macro="" textlink="">
      <xdr:nvSpPr>
        <xdr:cNvPr id="18" name="ZoneTexte 17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51</xdr:row>
      <xdr:rowOff>0</xdr:rowOff>
    </xdr:from>
    <xdr:to>
      <xdr:col>5</xdr:col>
      <xdr:colOff>390525</xdr:colOff>
      <xdr:row>51</xdr:row>
      <xdr:rowOff>161925</xdr:rowOff>
    </xdr:to>
    <xdr:sp macro="" textlink="">
      <xdr:nvSpPr>
        <xdr:cNvPr id="19" name="ZoneTexte 18"/>
        <xdr:cNvSpPr txBox="1"/>
      </xdr:nvSpPr>
      <xdr:spPr>
        <a:xfrm>
          <a:off x="40544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0" name="ZoneTexte 19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1" name="ZoneTexte 20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2" name="ZoneTexte 21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3" name="ZoneTexte 22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4" name="ZoneTexte 23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5" name="ZoneTexte 24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6" name="ZoneTexte 25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7" name="ZoneTexte 26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8" name="ZoneTexte 27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9" name="ZoneTexte 28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30" name="ZoneTexte 29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31" name="ZoneTexte 30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32" name="ZoneTexte 31"/>
        <xdr:cNvSpPr txBox="1"/>
      </xdr:nvSpPr>
      <xdr:spPr>
        <a:xfrm>
          <a:off x="5705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33" name="ZoneTexte 32"/>
        <xdr:cNvSpPr txBox="1"/>
      </xdr:nvSpPr>
      <xdr:spPr>
        <a:xfrm>
          <a:off x="5705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0</xdr:rowOff>
    </xdr:from>
    <xdr:to>
      <xdr:col>7</xdr:col>
      <xdr:colOff>390525</xdr:colOff>
      <xdr:row>51</xdr:row>
      <xdr:rowOff>161925</xdr:rowOff>
    </xdr:to>
    <xdr:sp macro="" textlink="">
      <xdr:nvSpPr>
        <xdr:cNvPr id="34" name="ZoneTexte 33"/>
        <xdr:cNvSpPr txBox="1"/>
      </xdr:nvSpPr>
      <xdr:spPr>
        <a:xfrm>
          <a:off x="57054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35" name="ZoneTexte 34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36" name="ZoneTexte 35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37" name="ZoneTexte 36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38" name="ZoneTexte 37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39" name="ZoneTexte 38"/>
        <xdr:cNvSpPr txBox="1"/>
      </xdr:nvSpPr>
      <xdr:spPr>
        <a:xfrm>
          <a:off x="5705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40" name="ZoneTexte 39"/>
        <xdr:cNvSpPr txBox="1"/>
      </xdr:nvSpPr>
      <xdr:spPr>
        <a:xfrm>
          <a:off x="5705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0</xdr:rowOff>
    </xdr:from>
    <xdr:to>
      <xdr:col>7</xdr:col>
      <xdr:colOff>390525</xdr:colOff>
      <xdr:row>51</xdr:row>
      <xdr:rowOff>161925</xdr:rowOff>
    </xdr:to>
    <xdr:sp macro="" textlink="">
      <xdr:nvSpPr>
        <xdr:cNvPr id="41" name="ZoneTexte 40"/>
        <xdr:cNvSpPr txBox="1"/>
      </xdr:nvSpPr>
      <xdr:spPr>
        <a:xfrm>
          <a:off x="57054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42" name="ZoneTexte 41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43" name="ZoneTexte 42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44" name="ZoneTexte 43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45" name="ZoneTexte 44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46" name="ZoneTexte 45"/>
        <xdr:cNvSpPr txBox="1"/>
      </xdr:nvSpPr>
      <xdr:spPr>
        <a:xfrm>
          <a:off x="6530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47" name="ZoneTexte 46"/>
        <xdr:cNvSpPr txBox="1"/>
      </xdr:nvSpPr>
      <xdr:spPr>
        <a:xfrm>
          <a:off x="6530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51</xdr:row>
      <xdr:rowOff>0</xdr:rowOff>
    </xdr:from>
    <xdr:to>
      <xdr:col>8</xdr:col>
      <xdr:colOff>390525</xdr:colOff>
      <xdr:row>51</xdr:row>
      <xdr:rowOff>161925</xdr:rowOff>
    </xdr:to>
    <xdr:sp macro="" textlink="">
      <xdr:nvSpPr>
        <xdr:cNvPr id="48" name="ZoneTexte 47"/>
        <xdr:cNvSpPr txBox="1"/>
      </xdr:nvSpPr>
      <xdr:spPr>
        <a:xfrm>
          <a:off x="65309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49" name="ZoneTexte 48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50" name="ZoneTexte 49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51" name="ZoneTexte 50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52" name="ZoneTexte 51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53" name="ZoneTexte 52"/>
        <xdr:cNvSpPr txBox="1"/>
      </xdr:nvSpPr>
      <xdr:spPr>
        <a:xfrm>
          <a:off x="6530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54" name="ZoneTexte 53"/>
        <xdr:cNvSpPr txBox="1"/>
      </xdr:nvSpPr>
      <xdr:spPr>
        <a:xfrm>
          <a:off x="6530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51</xdr:row>
      <xdr:rowOff>0</xdr:rowOff>
    </xdr:from>
    <xdr:to>
      <xdr:col>8</xdr:col>
      <xdr:colOff>390525</xdr:colOff>
      <xdr:row>51</xdr:row>
      <xdr:rowOff>161925</xdr:rowOff>
    </xdr:to>
    <xdr:sp macro="" textlink="">
      <xdr:nvSpPr>
        <xdr:cNvPr id="55" name="ZoneTexte 54"/>
        <xdr:cNvSpPr txBox="1"/>
      </xdr:nvSpPr>
      <xdr:spPr>
        <a:xfrm>
          <a:off x="65309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56" name="ZoneTexte 55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57" name="ZoneTexte 56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58" name="ZoneTexte 57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59" name="ZoneTexte 58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60" name="ZoneTexte 59"/>
        <xdr:cNvSpPr txBox="1"/>
      </xdr:nvSpPr>
      <xdr:spPr>
        <a:xfrm>
          <a:off x="7356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61" name="ZoneTexte 60"/>
        <xdr:cNvSpPr txBox="1"/>
      </xdr:nvSpPr>
      <xdr:spPr>
        <a:xfrm>
          <a:off x="7356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51</xdr:row>
      <xdr:rowOff>0</xdr:rowOff>
    </xdr:from>
    <xdr:to>
      <xdr:col>9</xdr:col>
      <xdr:colOff>390525</xdr:colOff>
      <xdr:row>51</xdr:row>
      <xdr:rowOff>161925</xdr:rowOff>
    </xdr:to>
    <xdr:sp macro="" textlink="">
      <xdr:nvSpPr>
        <xdr:cNvPr id="62" name="ZoneTexte 61"/>
        <xdr:cNvSpPr txBox="1"/>
      </xdr:nvSpPr>
      <xdr:spPr>
        <a:xfrm>
          <a:off x="73564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63" name="ZoneTexte 62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64" name="ZoneTexte 63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65" name="ZoneTexte 64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66" name="ZoneTexte 65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67" name="ZoneTexte 66"/>
        <xdr:cNvSpPr txBox="1"/>
      </xdr:nvSpPr>
      <xdr:spPr>
        <a:xfrm>
          <a:off x="7356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68" name="ZoneTexte 67"/>
        <xdr:cNvSpPr txBox="1"/>
      </xdr:nvSpPr>
      <xdr:spPr>
        <a:xfrm>
          <a:off x="7356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51</xdr:row>
      <xdr:rowOff>0</xdr:rowOff>
    </xdr:from>
    <xdr:to>
      <xdr:col>9</xdr:col>
      <xdr:colOff>390525</xdr:colOff>
      <xdr:row>51</xdr:row>
      <xdr:rowOff>161925</xdr:rowOff>
    </xdr:to>
    <xdr:sp macro="" textlink="">
      <xdr:nvSpPr>
        <xdr:cNvPr id="69" name="ZoneTexte 68"/>
        <xdr:cNvSpPr txBox="1"/>
      </xdr:nvSpPr>
      <xdr:spPr>
        <a:xfrm>
          <a:off x="73564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70" name="ZoneTexte 69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71" name="ZoneTexte 70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72" name="ZoneTexte 71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73" name="ZoneTexte 72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74" name="ZoneTexte 73"/>
        <xdr:cNvSpPr txBox="1"/>
      </xdr:nvSpPr>
      <xdr:spPr>
        <a:xfrm>
          <a:off x="8181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0</xdr:rowOff>
    </xdr:to>
    <xdr:sp macro="" textlink="">
      <xdr:nvSpPr>
        <xdr:cNvPr id="75" name="ZoneTexte 74"/>
        <xdr:cNvSpPr txBox="1"/>
      </xdr:nvSpPr>
      <xdr:spPr>
        <a:xfrm>
          <a:off x="8181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51</xdr:row>
      <xdr:rowOff>0</xdr:rowOff>
    </xdr:from>
    <xdr:to>
      <xdr:col>10</xdr:col>
      <xdr:colOff>390525</xdr:colOff>
      <xdr:row>51</xdr:row>
      <xdr:rowOff>161925</xdr:rowOff>
    </xdr:to>
    <xdr:sp macro="" textlink="">
      <xdr:nvSpPr>
        <xdr:cNvPr id="76" name="ZoneTexte 75"/>
        <xdr:cNvSpPr txBox="1"/>
      </xdr:nvSpPr>
      <xdr:spPr>
        <a:xfrm>
          <a:off x="81819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46</xdr:row>
      <xdr:rowOff>123825</xdr:rowOff>
    </xdr:from>
    <xdr:to>
      <xdr:col>3</xdr:col>
      <xdr:colOff>390525</xdr:colOff>
      <xdr:row>47</xdr:row>
      <xdr:rowOff>161925</xdr:rowOff>
    </xdr:to>
    <xdr:sp macro="" textlink="">
      <xdr:nvSpPr>
        <xdr:cNvPr id="77" name="ZoneTexte 76"/>
        <xdr:cNvSpPr txBox="1"/>
      </xdr:nvSpPr>
      <xdr:spPr>
        <a:xfrm>
          <a:off x="2403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3</xdr:col>
      <xdr:colOff>390525</xdr:colOff>
      <xdr:row>48</xdr:row>
      <xdr:rowOff>161925</xdr:rowOff>
    </xdr:to>
    <xdr:sp macro="" textlink="">
      <xdr:nvSpPr>
        <xdr:cNvPr id="78" name="ZoneTexte 77"/>
        <xdr:cNvSpPr txBox="1"/>
      </xdr:nvSpPr>
      <xdr:spPr>
        <a:xfrm>
          <a:off x="2403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3</xdr:col>
      <xdr:colOff>390525</xdr:colOff>
      <xdr:row>48</xdr:row>
      <xdr:rowOff>161925</xdr:rowOff>
    </xdr:to>
    <xdr:sp macro="" textlink="">
      <xdr:nvSpPr>
        <xdr:cNvPr id="79" name="ZoneTexte 78"/>
        <xdr:cNvSpPr txBox="1"/>
      </xdr:nvSpPr>
      <xdr:spPr>
        <a:xfrm>
          <a:off x="2403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48</xdr:row>
      <xdr:rowOff>123825</xdr:rowOff>
    </xdr:from>
    <xdr:to>
      <xdr:col>3</xdr:col>
      <xdr:colOff>390525</xdr:colOff>
      <xdr:row>49</xdr:row>
      <xdr:rowOff>161925</xdr:rowOff>
    </xdr:to>
    <xdr:sp macro="" textlink="">
      <xdr:nvSpPr>
        <xdr:cNvPr id="80" name="ZoneTexte 79"/>
        <xdr:cNvSpPr txBox="1"/>
      </xdr:nvSpPr>
      <xdr:spPr>
        <a:xfrm>
          <a:off x="2403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46</xdr:row>
      <xdr:rowOff>123825</xdr:rowOff>
    </xdr:from>
    <xdr:to>
      <xdr:col>4</xdr:col>
      <xdr:colOff>390525</xdr:colOff>
      <xdr:row>47</xdr:row>
      <xdr:rowOff>161925</xdr:rowOff>
    </xdr:to>
    <xdr:sp macro="" textlink="">
      <xdr:nvSpPr>
        <xdr:cNvPr id="81" name="ZoneTexte 80"/>
        <xdr:cNvSpPr txBox="1"/>
      </xdr:nvSpPr>
      <xdr:spPr>
        <a:xfrm>
          <a:off x="3228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82" name="ZoneTexte 81"/>
        <xdr:cNvSpPr txBox="1"/>
      </xdr:nvSpPr>
      <xdr:spPr>
        <a:xfrm>
          <a:off x="3228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83" name="ZoneTexte 82"/>
        <xdr:cNvSpPr txBox="1"/>
      </xdr:nvSpPr>
      <xdr:spPr>
        <a:xfrm>
          <a:off x="3228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48</xdr:row>
      <xdr:rowOff>123825</xdr:rowOff>
    </xdr:from>
    <xdr:to>
      <xdr:col>4</xdr:col>
      <xdr:colOff>390525</xdr:colOff>
      <xdr:row>49</xdr:row>
      <xdr:rowOff>161925</xdr:rowOff>
    </xdr:to>
    <xdr:sp macro="" textlink="">
      <xdr:nvSpPr>
        <xdr:cNvPr id="84" name="ZoneTexte 83"/>
        <xdr:cNvSpPr txBox="1"/>
      </xdr:nvSpPr>
      <xdr:spPr>
        <a:xfrm>
          <a:off x="3228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49</xdr:row>
      <xdr:rowOff>123825</xdr:rowOff>
    </xdr:from>
    <xdr:to>
      <xdr:col>4</xdr:col>
      <xdr:colOff>390525</xdr:colOff>
      <xdr:row>50</xdr:row>
      <xdr:rowOff>161925</xdr:rowOff>
    </xdr:to>
    <xdr:sp macro="" textlink="">
      <xdr:nvSpPr>
        <xdr:cNvPr id="85" name="ZoneTexte 84"/>
        <xdr:cNvSpPr txBox="1"/>
      </xdr:nvSpPr>
      <xdr:spPr>
        <a:xfrm>
          <a:off x="3228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50</xdr:row>
      <xdr:rowOff>123825</xdr:rowOff>
    </xdr:from>
    <xdr:to>
      <xdr:col>4</xdr:col>
      <xdr:colOff>390525</xdr:colOff>
      <xdr:row>51</xdr:row>
      <xdr:rowOff>0</xdr:rowOff>
    </xdr:to>
    <xdr:sp macro="" textlink="">
      <xdr:nvSpPr>
        <xdr:cNvPr id="86" name="ZoneTexte 85"/>
        <xdr:cNvSpPr txBox="1"/>
      </xdr:nvSpPr>
      <xdr:spPr>
        <a:xfrm>
          <a:off x="3228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51</xdr:row>
      <xdr:rowOff>0</xdr:rowOff>
    </xdr:from>
    <xdr:to>
      <xdr:col>4</xdr:col>
      <xdr:colOff>390525</xdr:colOff>
      <xdr:row>51</xdr:row>
      <xdr:rowOff>161925</xdr:rowOff>
    </xdr:to>
    <xdr:sp macro="" textlink="">
      <xdr:nvSpPr>
        <xdr:cNvPr id="87" name="ZoneTexte 86"/>
        <xdr:cNvSpPr txBox="1"/>
      </xdr:nvSpPr>
      <xdr:spPr>
        <a:xfrm>
          <a:off x="32289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88" name="ZoneTexte 87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89" name="ZoneTexte 88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90" name="ZoneTexte 89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91" name="ZoneTexte 90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49</xdr:row>
      <xdr:rowOff>123825</xdr:rowOff>
    </xdr:from>
    <xdr:to>
      <xdr:col>5</xdr:col>
      <xdr:colOff>390525</xdr:colOff>
      <xdr:row>50</xdr:row>
      <xdr:rowOff>161925</xdr:rowOff>
    </xdr:to>
    <xdr:sp macro="" textlink="">
      <xdr:nvSpPr>
        <xdr:cNvPr id="92" name="ZoneTexte 91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50</xdr:row>
      <xdr:rowOff>123825</xdr:rowOff>
    </xdr:from>
    <xdr:to>
      <xdr:col>5</xdr:col>
      <xdr:colOff>390525</xdr:colOff>
      <xdr:row>51</xdr:row>
      <xdr:rowOff>0</xdr:rowOff>
    </xdr:to>
    <xdr:sp macro="" textlink="">
      <xdr:nvSpPr>
        <xdr:cNvPr id="93" name="ZoneTexte 92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51</xdr:row>
      <xdr:rowOff>0</xdr:rowOff>
    </xdr:from>
    <xdr:to>
      <xdr:col>5</xdr:col>
      <xdr:colOff>390525</xdr:colOff>
      <xdr:row>51</xdr:row>
      <xdr:rowOff>161925</xdr:rowOff>
    </xdr:to>
    <xdr:sp macro="" textlink="">
      <xdr:nvSpPr>
        <xdr:cNvPr id="94" name="ZoneTexte 93"/>
        <xdr:cNvSpPr txBox="1"/>
      </xdr:nvSpPr>
      <xdr:spPr>
        <a:xfrm>
          <a:off x="40544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95" name="ZoneTexte 94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96" name="ZoneTexte 95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97" name="ZoneTexte 96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98" name="ZoneTexte 97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49</xdr:row>
      <xdr:rowOff>123825</xdr:rowOff>
    </xdr:from>
    <xdr:to>
      <xdr:col>5</xdr:col>
      <xdr:colOff>390525</xdr:colOff>
      <xdr:row>50</xdr:row>
      <xdr:rowOff>161925</xdr:rowOff>
    </xdr:to>
    <xdr:sp macro="" textlink="">
      <xdr:nvSpPr>
        <xdr:cNvPr id="99" name="ZoneTexte 98"/>
        <xdr:cNvSpPr txBox="1"/>
      </xdr:nvSpPr>
      <xdr:spPr>
        <a:xfrm>
          <a:off x="4054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50</xdr:row>
      <xdr:rowOff>123825</xdr:rowOff>
    </xdr:from>
    <xdr:to>
      <xdr:col>5</xdr:col>
      <xdr:colOff>390525</xdr:colOff>
      <xdr:row>51</xdr:row>
      <xdr:rowOff>0</xdr:rowOff>
    </xdr:to>
    <xdr:sp macro="" textlink="">
      <xdr:nvSpPr>
        <xdr:cNvPr id="100" name="ZoneTexte 99"/>
        <xdr:cNvSpPr txBox="1"/>
      </xdr:nvSpPr>
      <xdr:spPr>
        <a:xfrm>
          <a:off x="4054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51</xdr:row>
      <xdr:rowOff>0</xdr:rowOff>
    </xdr:from>
    <xdr:to>
      <xdr:col>5</xdr:col>
      <xdr:colOff>390525</xdr:colOff>
      <xdr:row>51</xdr:row>
      <xdr:rowOff>161925</xdr:rowOff>
    </xdr:to>
    <xdr:sp macro="" textlink="">
      <xdr:nvSpPr>
        <xdr:cNvPr id="101" name="ZoneTexte 100"/>
        <xdr:cNvSpPr txBox="1"/>
      </xdr:nvSpPr>
      <xdr:spPr>
        <a:xfrm>
          <a:off x="40544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02" name="ZoneTexte 101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03" name="ZoneTexte 102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04" name="ZoneTexte 103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05" name="ZoneTexte 104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06" name="ZoneTexte 105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07" name="ZoneTexte 10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08" name="ZoneTexte 10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09" name="ZoneTexte 108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110" name="ZoneTexte 109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11" name="ZoneTexte 110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12" name="ZoneTexte 111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113" name="ZoneTexte 112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114" name="ZoneTexte 113"/>
        <xdr:cNvSpPr txBox="1"/>
      </xdr:nvSpPr>
      <xdr:spPr>
        <a:xfrm>
          <a:off x="5705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115" name="ZoneTexte 114"/>
        <xdr:cNvSpPr txBox="1"/>
      </xdr:nvSpPr>
      <xdr:spPr>
        <a:xfrm>
          <a:off x="5705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0</xdr:rowOff>
    </xdr:from>
    <xdr:to>
      <xdr:col>7</xdr:col>
      <xdr:colOff>390525</xdr:colOff>
      <xdr:row>51</xdr:row>
      <xdr:rowOff>161925</xdr:rowOff>
    </xdr:to>
    <xdr:sp macro="" textlink="">
      <xdr:nvSpPr>
        <xdr:cNvPr id="116" name="ZoneTexte 115"/>
        <xdr:cNvSpPr txBox="1"/>
      </xdr:nvSpPr>
      <xdr:spPr>
        <a:xfrm>
          <a:off x="57054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117" name="ZoneTexte 116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18" name="ZoneTexte 117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19" name="ZoneTexte 118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120" name="ZoneTexte 119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121" name="ZoneTexte 120"/>
        <xdr:cNvSpPr txBox="1"/>
      </xdr:nvSpPr>
      <xdr:spPr>
        <a:xfrm>
          <a:off x="5705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122" name="ZoneTexte 121"/>
        <xdr:cNvSpPr txBox="1"/>
      </xdr:nvSpPr>
      <xdr:spPr>
        <a:xfrm>
          <a:off x="5705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51</xdr:row>
      <xdr:rowOff>0</xdr:rowOff>
    </xdr:from>
    <xdr:to>
      <xdr:col>7</xdr:col>
      <xdr:colOff>390525</xdr:colOff>
      <xdr:row>51</xdr:row>
      <xdr:rowOff>161925</xdr:rowOff>
    </xdr:to>
    <xdr:sp macro="" textlink="">
      <xdr:nvSpPr>
        <xdr:cNvPr id="123" name="ZoneTexte 122"/>
        <xdr:cNvSpPr txBox="1"/>
      </xdr:nvSpPr>
      <xdr:spPr>
        <a:xfrm>
          <a:off x="57054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124" name="ZoneTexte 123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25" name="ZoneTexte 124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26" name="ZoneTexte 125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127" name="ZoneTexte 126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128" name="ZoneTexte 127"/>
        <xdr:cNvSpPr txBox="1"/>
      </xdr:nvSpPr>
      <xdr:spPr>
        <a:xfrm>
          <a:off x="6530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129" name="ZoneTexte 128"/>
        <xdr:cNvSpPr txBox="1"/>
      </xdr:nvSpPr>
      <xdr:spPr>
        <a:xfrm>
          <a:off x="6530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51</xdr:row>
      <xdr:rowOff>0</xdr:rowOff>
    </xdr:from>
    <xdr:to>
      <xdr:col>8</xdr:col>
      <xdr:colOff>390525</xdr:colOff>
      <xdr:row>51</xdr:row>
      <xdr:rowOff>161925</xdr:rowOff>
    </xdr:to>
    <xdr:sp macro="" textlink="">
      <xdr:nvSpPr>
        <xdr:cNvPr id="130" name="ZoneTexte 129"/>
        <xdr:cNvSpPr txBox="1"/>
      </xdr:nvSpPr>
      <xdr:spPr>
        <a:xfrm>
          <a:off x="65309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31" name="ZoneTexte 130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132" name="ZoneTexte 131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133" name="ZoneTexte 132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134" name="ZoneTexte 133"/>
        <xdr:cNvSpPr txBox="1"/>
      </xdr:nvSpPr>
      <xdr:spPr>
        <a:xfrm>
          <a:off x="6530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135" name="ZoneTexte 134"/>
        <xdr:cNvSpPr txBox="1"/>
      </xdr:nvSpPr>
      <xdr:spPr>
        <a:xfrm>
          <a:off x="6530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136" name="ZoneTexte 135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137" name="ZoneTexte 136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138" name="ZoneTexte 137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139" name="ZoneTexte 138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140" name="ZoneTexte 139"/>
        <xdr:cNvSpPr txBox="1"/>
      </xdr:nvSpPr>
      <xdr:spPr>
        <a:xfrm>
          <a:off x="7356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141" name="ZoneTexte 140"/>
        <xdr:cNvSpPr txBox="1"/>
      </xdr:nvSpPr>
      <xdr:spPr>
        <a:xfrm>
          <a:off x="7356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51</xdr:row>
      <xdr:rowOff>0</xdr:rowOff>
    </xdr:from>
    <xdr:to>
      <xdr:col>9</xdr:col>
      <xdr:colOff>390525</xdr:colOff>
      <xdr:row>51</xdr:row>
      <xdr:rowOff>161925</xdr:rowOff>
    </xdr:to>
    <xdr:sp macro="" textlink="">
      <xdr:nvSpPr>
        <xdr:cNvPr id="142" name="ZoneTexte 141"/>
        <xdr:cNvSpPr txBox="1"/>
      </xdr:nvSpPr>
      <xdr:spPr>
        <a:xfrm>
          <a:off x="73564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143" name="ZoneTexte 142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144" name="ZoneTexte 143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145" name="ZoneTexte 144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146" name="ZoneTexte 145"/>
        <xdr:cNvSpPr txBox="1"/>
      </xdr:nvSpPr>
      <xdr:spPr>
        <a:xfrm>
          <a:off x="7356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147" name="ZoneTexte 146"/>
        <xdr:cNvSpPr txBox="1"/>
      </xdr:nvSpPr>
      <xdr:spPr>
        <a:xfrm>
          <a:off x="7356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148" name="ZoneTexte 147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149" name="ZoneTexte 148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150" name="ZoneTexte 149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151" name="ZoneTexte 150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152" name="ZoneTexte 151"/>
        <xdr:cNvSpPr txBox="1"/>
      </xdr:nvSpPr>
      <xdr:spPr>
        <a:xfrm>
          <a:off x="8181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0</xdr:rowOff>
    </xdr:to>
    <xdr:sp macro="" textlink="">
      <xdr:nvSpPr>
        <xdr:cNvPr id="153" name="ZoneTexte 152"/>
        <xdr:cNvSpPr txBox="1"/>
      </xdr:nvSpPr>
      <xdr:spPr>
        <a:xfrm>
          <a:off x="8181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51</xdr:row>
      <xdr:rowOff>0</xdr:rowOff>
    </xdr:from>
    <xdr:to>
      <xdr:col>10</xdr:col>
      <xdr:colOff>390525</xdr:colOff>
      <xdr:row>51</xdr:row>
      <xdr:rowOff>161925</xdr:rowOff>
    </xdr:to>
    <xdr:sp macro="" textlink="">
      <xdr:nvSpPr>
        <xdr:cNvPr id="154" name="ZoneTexte 153"/>
        <xdr:cNvSpPr txBox="1"/>
      </xdr:nvSpPr>
      <xdr:spPr>
        <a:xfrm>
          <a:off x="8181975" y="9944100"/>
          <a:ext cx="4635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49</xdr:row>
      <xdr:rowOff>123825</xdr:rowOff>
    </xdr:from>
    <xdr:to>
      <xdr:col>2</xdr:col>
      <xdr:colOff>390525</xdr:colOff>
      <xdr:row>50</xdr:row>
      <xdr:rowOff>161925</xdr:rowOff>
    </xdr:to>
    <xdr:sp macro="" textlink="">
      <xdr:nvSpPr>
        <xdr:cNvPr id="155" name="ZoneTexte 154"/>
        <xdr:cNvSpPr txBox="1"/>
      </xdr:nvSpPr>
      <xdr:spPr>
        <a:xfrm>
          <a:off x="1577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752475</xdr:colOff>
      <xdr:row>46</xdr:row>
      <xdr:rowOff>123825</xdr:rowOff>
    </xdr:from>
    <xdr:to>
      <xdr:col>2</xdr:col>
      <xdr:colOff>390525</xdr:colOff>
      <xdr:row>47</xdr:row>
      <xdr:rowOff>161925</xdr:rowOff>
    </xdr:to>
    <xdr:sp macro="" textlink="">
      <xdr:nvSpPr>
        <xdr:cNvPr id="156" name="ZoneTexte 155"/>
        <xdr:cNvSpPr txBox="1"/>
      </xdr:nvSpPr>
      <xdr:spPr>
        <a:xfrm>
          <a:off x="1577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46</xdr:row>
      <xdr:rowOff>123825</xdr:rowOff>
    </xdr:from>
    <xdr:to>
      <xdr:col>3</xdr:col>
      <xdr:colOff>390525</xdr:colOff>
      <xdr:row>47</xdr:row>
      <xdr:rowOff>161925</xdr:rowOff>
    </xdr:to>
    <xdr:sp macro="" textlink="">
      <xdr:nvSpPr>
        <xdr:cNvPr id="157" name="ZoneTexte 156"/>
        <xdr:cNvSpPr txBox="1"/>
      </xdr:nvSpPr>
      <xdr:spPr>
        <a:xfrm>
          <a:off x="2403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3</xdr:col>
      <xdr:colOff>390525</xdr:colOff>
      <xdr:row>48</xdr:row>
      <xdr:rowOff>161925</xdr:rowOff>
    </xdr:to>
    <xdr:sp macro="" textlink="">
      <xdr:nvSpPr>
        <xdr:cNvPr id="158" name="ZoneTexte 157"/>
        <xdr:cNvSpPr txBox="1"/>
      </xdr:nvSpPr>
      <xdr:spPr>
        <a:xfrm>
          <a:off x="2403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47</xdr:row>
      <xdr:rowOff>123825</xdr:rowOff>
    </xdr:from>
    <xdr:to>
      <xdr:col>3</xdr:col>
      <xdr:colOff>390525</xdr:colOff>
      <xdr:row>48</xdr:row>
      <xdr:rowOff>161925</xdr:rowOff>
    </xdr:to>
    <xdr:sp macro="" textlink="">
      <xdr:nvSpPr>
        <xdr:cNvPr id="159" name="ZoneTexte 158"/>
        <xdr:cNvSpPr txBox="1"/>
      </xdr:nvSpPr>
      <xdr:spPr>
        <a:xfrm>
          <a:off x="2403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48</xdr:row>
      <xdr:rowOff>123825</xdr:rowOff>
    </xdr:from>
    <xdr:to>
      <xdr:col>3</xdr:col>
      <xdr:colOff>390525</xdr:colOff>
      <xdr:row>49</xdr:row>
      <xdr:rowOff>161925</xdr:rowOff>
    </xdr:to>
    <xdr:sp macro="" textlink="">
      <xdr:nvSpPr>
        <xdr:cNvPr id="160" name="ZoneTexte 159"/>
        <xdr:cNvSpPr txBox="1"/>
      </xdr:nvSpPr>
      <xdr:spPr>
        <a:xfrm>
          <a:off x="2403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46</xdr:row>
      <xdr:rowOff>123825</xdr:rowOff>
    </xdr:from>
    <xdr:to>
      <xdr:col>4</xdr:col>
      <xdr:colOff>390525</xdr:colOff>
      <xdr:row>47</xdr:row>
      <xdr:rowOff>161925</xdr:rowOff>
    </xdr:to>
    <xdr:sp macro="" textlink="">
      <xdr:nvSpPr>
        <xdr:cNvPr id="161" name="ZoneTexte 160"/>
        <xdr:cNvSpPr txBox="1"/>
      </xdr:nvSpPr>
      <xdr:spPr>
        <a:xfrm>
          <a:off x="3228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162" name="ZoneTexte 161"/>
        <xdr:cNvSpPr txBox="1"/>
      </xdr:nvSpPr>
      <xdr:spPr>
        <a:xfrm>
          <a:off x="3228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47</xdr:row>
      <xdr:rowOff>123825</xdr:rowOff>
    </xdr:from>
    <xdr:to>
      <xdr:col>4</xdr:col>
      <xdr:colOff>390525</xdr:colOff>
      <xdr:row>48</xdr:row>
      <xdr:rowOff>161925</xdr:rowOff>
    </xdr:to>
    <xdr:sp macro="" textlink="">
      <xdr:nvSpPr>
        <xdr:cNvPr id="163" name="ZoneTexte 162"/>
        <xdr:cNvSpPr txBox="1"/>
      </xdr:nvSpPr>
      <xdr:spPr>
        <a:xfrm>
          <a:off x="3228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752475</xdr:colOff>
      <xdr:row>48</xdr:row>
      <xdr:rowOff>123825</xdr:rowOff>
    </xdr:from>
    <xdr:to>
      <xdr:col>4</xdr:col>
      <xdr:colOff>390525</xdr:colOff>
      <xdr:row>49</xdr:row>
      <xdr:rowOff>161925</xdr:rowOff>
    </xdr:to>
    <xdr:sp macro="" textlink="">
      <xdr:nvSpPr>
        <xdr:cNvPr id="164" name="ZoneTexte 163"/>
        <xdr:cNvSpPr txBox="1"/>
      </xdr:nvSpPr>
      <xdr:spPr>
        <a:xfrm>
          <a:off x="3228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752475</xdr:colOff>
      <xdr:row>46</xdr:row>
      <xdr:rowOff>123825</xdr:rowOff>
    </xdr:from>
    <xdr:to>
      <xdr:col>3</xdr:col>
      <xdr:colOff>390525</xdr:colOff>
      <xdr:row>47</xdr:row>
      <xdr:rowOff>161925</xdr:rowOff>
    </xdr:to>
    <xdr:sp macro="" textlink="">
      <xdr:nvSpPr>
        <xdr:cNvPr id="165" name="ZoneTexte 164"/>
        <xdr:cNvSpPr txBox="1"/>
      </xdr:nvSpPr>
      <xdr:spPr>
        <a:xfrm>
          <a:off x="2403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66" name="ZoneTexte 165"/>
        <xdr:cNvSpPr txBox="1"/>
      </xdr:nvSpPr>
      <xdr:spPr>
        <a:xfrm>
          <a:off x="4054475" y="90646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67" name="ZoneTexte 166"/>
        <xdr:cNvSpPr txBox="1"/>
      </xdr:nvSpPr>
      <xdr:spPr>
        <a:xfrm>
          <a:off x="4054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68" name="ZoneTexte 167"/>
        <xdr:cNvSpPr txBox="1"/>
      </xdr:nvSpPr>
      <xdr:spPr>
        <a:xfrm>
          <a:off x="4054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69" name="ZoneTexte 168"/>
        <xdr:cNvSpPr txBox="1"/>
      </xdr:nvSpPr>
      <xdr:spPr>
        <a:xfrm>
          <a:off x="4054475" y="94710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170" name="ZoneTexte 169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71" name="ZoneTexte 170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72" name="ZoneTexte 171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173" name="ZoneTexte 172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74" name="ZoneTexte 173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75" name="ZoneTexte 174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76" name="ZoneTexte 175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77" name="ZoneTexte 176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178" name="ZoneTexte 177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79" name="ZoneTexte 178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47</xdr:row>
      <xdr:rowOff>123825</xdr:rowOff>
    </xdr:from>
    <xdr:to>
      <xdr:col>5</xdr:col>
      <xdr:colOff>390525</xdr:colOff>
      <xdr:row>48</xdr:row>
      <xdr:rowOff>161925</xdr:rowOff>
    </xdr:to>
    <xdr:sp macro="" textlink="">
      <xdr:nvSpPr>
        <xdr:cNvPr id="180" name="ZoneTexte 179"/>
        <xdr:cNvSpPr txBox="1"/>
      </xdr:nvSpPr>
      <xdr:spPr>
        <a:xfrm>
          <a:off x="4054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48</xdr:row>
      <xdr:rowOff>123825</xdr:rowOff>
    </xdr:from>
    <xdr:to>
      <xdr:col>5</xdr:col>
      <xdr:colOff>390525</xdr:colOff>
      <xdr:row>49</xdr:row>
      <xdr:rowOff>161925</xdr:rowOff>
    </xdr:to>
    <xdr:sp macro="" textlink="">
      <xdr:nvSpPr>
        <xdr:cNvPr id="181" name="ZoneTexte 180"/>
        <xdr:cNvSpPr txBox="1"/>
      </xdr:nvSpPr>
      <xdr:spPr>
        <a:xfrm>
          <a:off x="4054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82" name="ZoneTexte 181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83" name="ZoneTexte 182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84" name="ZoneTexte 183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85" name="ZoneTexte 184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752475</xdr:colOff>
      <xdr:row>46</xdr:row>
      <xdr:rowOff>123825</xdr:rowOff>
    </xdr:from>
    <xdr:to>
      <xdr:col>5</xdr:col>
      <xdr:colOff>390525</xdr:colOff>
      <xdr:row>47</xdr:row>
      <xdr:rowOff>161925</xdr:rowOff>
    </xdr:to>
    <xdr:sp macro="" textlink="">
      <xdr:nvSpPr>
        <xdr:cNvPr id="186" name="ZoneTexte 185"/>
        <xdr:cNvSpPr txBox="1"/>
      </xdr:nvSpPr>
      <xdr:spPr>
        <a:xfrm>
          <a:off x="4054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187" name="ZoneTexte 186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88" name="ZoneTexte 18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189" name="ZoneTexte 188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190" name="ZoneTexte 189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49</xdr:row>
      <xdr:rowOff>123825</xdr:rowOff>
    </xdr:from>
    <xdr:to>
      <xdr:col>6</xdr:col>
      <xdr:colOff>390525</xdr:colOff>
      <xdr:row>50</xdr:row>
      <xdr:rowOff>161925</xdr:rowOff>
    </xdr:to>
    <xdr:sp macro="" textlink="">
      <xdr:nvSpPr>
        <xdr:cNvPr id="191" name="ZoneTexte 190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50</xdr:row>
      <xdr:rowOff>123825</xdr:rowOff>
    </xdr:from>
    <xdr:to>
      <xdr:col>6</xdr:col>
      <xdr:colOff>390525</xdr:colOff>
      <xdr:row>51</xdr:row>
      <xdr:rowOff>0</xdr:rowOff>
    </xdr:to>
    <xdr:sp macro="" textlink="">
      <xdr:nvSpPr>
        <xdr:cNvPr id="192" name="ZoneTexte 191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193" name="ZoneTexte 192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94" name="ZoneTexte 193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95" name="ZoneTexte 194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196" name="ZoneTexte 195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197" name="ZoneTexte 196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98" name="ZoneTexte 197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199" name="ZoneTexte 198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00" name="ZoneTexte 199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01" name="ZoneTexte 200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02" name="ZoneTexte 201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03" name="ZoneTexte 202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04" name="ZoneTexte 203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49</xdr:row>
      <xdr:rowOff>123825</xdr:rowOff>
    </xdr:from>
    <xdr:to>
      <xdr:col>6</xdr:col>
      <xdr:colOff>390525</xdr:colOff>
      <xdr:row>50</xdr:row>
      <xdr:rowOff>161925</xdr:rowOff>
    </xdr:to>
    <xdr:sp macro="" textlink="">
      <xdr:nvSpPr>
        <xdr:cNvPr id="205" name="ZoneTexte 204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50</xdr:row>
      <xdr:rowOff>123825</xdr:rowOff>
    </xdr:from>
    <xdr:to>
      <xdr:col>6</xdr:col>
      <xdr:colOff>390525</xdr:colOff>
      <xdr:row>51</xdr:row>
      <xdr:rowOff>0</xdr:rowOff>
    </xdr:to>
    <xdr:sp macro="" textlink="">
      <xdr:nvSpPr>
        <xdr:cNvPr id="206" name="ZoneTexte 205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07" name="ZoneTexte 206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08" name="ZoneTexte 207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09" name="ZoneTexte 208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10" name="ZoneTexte 209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49</xdr:row>
      <xdr:rowOff>123825</xdr:rowOff>
    </xdr:from>
    <xdr:to>
      <xdr:col>6</xdr:col>
      <xdr:colOff>390525</xdr:colOff>
      <xdr:row>50</xdr:row>
      <xdr:rowOff>161925</xdr:rowOff>
    </xdr:to>
    <xdr:sp macro="" textlink="">
      <xdr:nvSpPr>
        <xdr:cNvPr id="211" name="ZoneTexte 210"/>
        <xdr:cNvSpPr txBox="1"/>
      </xdr:nvSpPr>
      <xdr:spPr>
        <a:xfrm>
          <a:off x="4879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50</xdr:row>
      <xdr:rowOff>123825</xdr:rowOff>
    </xdr:from>
    <xdr:to>
      <xdr:col>6</xdr:col>
      <xdr:colOff>390525</xdr:colOff>
      <xdr:row>51</xdr:row>
      <xdr:rowOff>0</xdr:rowOff>
    </xdr:to>
    <xdr:sp macro="" textlink="">
      <xdr:nvSpPr>
        <xdr:cNvPr id="212" name="ZoneTexte 211"/>
        <xdr:cNvSpPr txBox="1"/>
      </xdr:nvSpPr>
      <xdr:spPr>
        <a:xfrm>
          <a:off x="4879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13" name="ZoneTexte 212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14" name="ZoneTexte 213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15" name="ZoneTexte 214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16" name="ZoneTexte 215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17" name="ZoneTexte 216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18" name="ZoneTexte 217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19" name="ZoneTexte 218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20" name="ZoneTexte 219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21" name="ZoneTexte 220"/>
        <xdr:cNvSpPr txBox="1"/>
      </xdr:nvSpPr>
      <xdr:spPr>
        <a:xfrm>
          <a:off x="4879975" y="90646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22" name="ZoneTexte 221"/>
        <xdr:cNvSpPr txBox="1"/>
      </xdr:nvSpPr>
      <xdr:spPr>
        <a:xfrm>
          <a:off x="48799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23" name="ZoneTexte 222"/>
        <xdr:cNvSpPr txBox="1"/>
      </xdr:nvSpPr>
      <xdr:spPr>
        <a:xfrm>
          <a:off x="48799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24" name="ZoneTexte 223"/>
        <xdr:cNvSpPr txBox="1"/>
      </xdr:nvSpPr>
      <xdr:spPr>
        <a:xfrm>
          <a:off x="4879975" y="94710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25" name="ZoneTexte 224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26" name="ZoneTexte 225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27" name="ZoneTexte 226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28" name="ZoneTexte 227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29" name="ZoneTexte 228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30" name="ZoneTexte 229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31" name="ZoneTexte 230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32" name="ZoneTexte 231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33" name="ZoneTexte 232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34" name="ZoneTexte 233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47</xdr:row>
      <xdr:rowOff>123825</xdr:rowOff>
    </xdr:from>
    <xdr:to>
      <xdr:col>6</xdr:col>
      <xdr:colOff>390525</xdr:colOff>
      <xdr:row>48</xdr:row>
      <xdr:rowOff>161925</xdr:rowOff>
    </xdr:to>
    <xdr:sp macro="" textlink="">
      <xdr:nvSpPr>
        <xdr:cNvPr id="235" name="ZoneTexte 234"/>
        <xdr:cNvSpPr txBox="1"/>
      </xdr:nvSpPr>
      <xdr:spPr>
        <a:xfrm>
          <a:off x="4879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48</xdr:row>
      <xdr:rowOff>123825</xdr:rowOff>
    </xdr:from>
    <xdr:to>
      <xdr:col>6</xdr:col>
      <xdr:colOff>390525</xdr:colOff>
      <xdr:row>49</xdr:row>
      <xdr:rowOff>161925</xdr:rowOff>
    </xdr:to>
    <xdr:sp macro="" textlink="">
      <xdr:nvSpPr>
        <xdr:cNvPr id="236" name="ZoneTexte 235"/>
        <xdr:cNvSpPr txBox="1"/>
      </xdr:nvSpPr>
      <xdr:spPr>
        <a:xfrm>
          <a:off x="4879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37" name="ZoneTexte 236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38" name="ZoneTexte 237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39" name="ZoneTexte 238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40" name="ZoneTexte 239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752475</xdr:colOff>
      <xdr:row>46</xdr:row>
      <xdr:rowOff>123825</xdr:rowOff>
    </xdr:from>
    <xdr:to>
      <xdr:col>6</xdr:col>
      <xdr:colOff>390525</xdr:colOff>
      <xdr:row>47</xdr:row>
      <xdr:rowOff>161925</xdr:rowOff>
    </xdr:to>
    <xdr:sp macro="" textlink="">
      <xdr:nvSpPr>
        <xdr:cNvPr id="241" name="ZoneTexte 240"/>
        <xdr:cNvSpPr txBox="1"/>
      </xdr:nvSpPr>
      <xdr:spPr>
        <a:xfrm>
          <a:off x="4879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42" name="ZoneTexte 241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43" name="ZoneTexte 242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44" name="ZoneTexte 243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45" name="ZoneTexte 244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246" name="ZoneTexte 245"/>
        <xdr:cNvSpPr txBox="1"/>
      </xdr:nvSpPr>
      <xdr:spPr>
        <a:xfrm>
          <a:off x="5705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247" name="ZoneTexte 246"/>
        <xdr:cNvSpPr txBox="1"/>
      </xdr:nvSpPr>
      <xdr:spPr>
        <a:xfrm>
          <a:off x="5705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48" name="ZoneTexte 247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49" name="ZoneTexte 248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50" name="ZoneTexte 249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251" name="ZoneTexte 250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52" name="ZoneTexte 251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53" name="ZoneTexte 252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54" name="ZoneTexte 253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255" name="ZoneTexte 254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56" name="ZoneTexte 255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57" name="ZoneTexte 256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58" name="ZoneTexte 257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59" name="ZoneTexte 258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260" name="ZoneTexte 259"/>
        <xdr:cNvSpPr txBox="1"/>
      </xdr:nvSpPr>
      <xdr:spPr>
        <a:xfrm>
          <a:off x="5705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261" name="ZoneTexte 260"/>
        <xdr:cNvSpPr txBox="1"/>
      </xdr:nvSpPr>
      <xdr:spPr>
        <a:xfrm>
          <a:off x="5705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62" name="ZoneTexte 261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63" name="ZoneTexte 262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64" name="ZoneTexte 263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65" name="ZoneTexte 264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49</xdr:row>
      <xdr:rowOff>123825</xdr:rowOff>
    </xdr:from>
    <xdr:to>
      <xdr:col>7</xdr:col>
      <xdr:colOff>390525</xdr:colOff>
      <xdr:row>50</xdr:row>
      <xdr:rowOff>161925</xdr:rowOff>
    </xdr:to>
    <xdr:sp macro="" textlink="">
      <xdr:nvSpPr>
        <xdr:cNvPr id="266" name="ZoneTexte 265"/>
        <xdr:cNvSpPr txBox="1"/>
      </xdr:nvSpPr>
      <xdr:spPr>
        <a:xfrm>
          <a:off x="5705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50</xdr:row>
      <xdr:rowOff>123825</xdr:rowOff>
    </xdr:from>
    <xdr:to>
      <xdr:col>7</xdr:col>
      <xdr:colOff>390525</xdr:colOff>
      <xdr:row>51</xdr:row>
      <xdr:rowOff>0</xdr:rowOff>
    </xdr:to>
    <xdr:sp macro="" textlink="">
      <xdr:nvSpPr>
        <xdr:cNvPr id="267" name="ZoneTexte 266"/>
        <xdr:cNvSpPr txBox="1"/>
      </xdr:nvSpPr>
      <xdr:spPr>
        <a:xfrm>
          <a:off x="5705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68" name="ZoneTexte 267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69" name="ZoneTexte 268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70" name="ZoneTexte 269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271" name="ZoneTexte 270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72" name="ZoneTexte 271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73" name="ZoneTexte 272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74" name="ZoneTexte 273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275" name="ZoneTexte 274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76" name="ZoneTexte 275"/>
        <xdr:cNvSpPr txBox="1"/>
      </xdr:nvSpPr>
      <xdr:spPr>
        <a:xfrm>
          <a:off x="5705475" y="90646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77" name="ZoneTexte 276"/>
        <xdr:cNvSpPr txBox="1"/>
      </xdr:nvSpPr>
      <xdr:spPr>
        <a:xfrm>
          <a:off x="5705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78" name="ZoneTexte 277"/>
        <xdr:cNvSpPr txBox="1"/>
      </xdr:nvSpPr>
      <xdr:spPr>
        <a:xfrm>
          <a:off x="5705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279" name="ZoneTexte 278"/>
        <xdr:cNvSpPr txBox="1"/>
      </xdr:nvSpPr>
      <xdr:spPr>
        <a:xfrm>
          <a:off x="5705475" y="94710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80" name="ZoneTexte 279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81" name="ZoneTexte 280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82" name="ZoneTexte 281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83" name="ZoneTexte 282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84" name="ZoneTexte 283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85" name="ZoneTexte 284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86" name="ZoneTexte 285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287" name="ZoneTexte 286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88" name="ZoneTexte 287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89" name="ZoneTexte 288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47</xdr:row>
      <xdr:rowOff>123825</xdr:rowOff>
    </xdr:from>
    <xdr:to>
      <xdr:col>7</xdr:col>
      <xdr:colOff>390525</xdr:colOff>
      <xdr:row>48</xdr:row>
      <xdr:rowOff>161925</xdr:rowOff>
    </xdr:to>
    <xdr:sp macro="" textlink="">
      <xdr:nvSpPr>
        <xdr:cNvPr id="290" name="ZoneTexte 289"/>
        <xdr:cNvSpPr txBox="1"/>
      </xdr:nvSpPr>
      <xdr:spPr>
        <a:xfrm>
          <a:off x="5705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48</xdr:row>
      <xdr:rowOff>123825</xdr:rowOff>
    </xdr:from>
    <xdr:to>
      <xdr:col>7</xdr:col>
      <xdr:colOff>390525</xdr:colOff>
      <xdr:row>49</xdr:row>
      <xdr:rowOff>161925</xdr:rowOff>
    </xdr:to>
    <xdr:sp macro="" textlink="">
      <xdr:nvSpPr>
        <xdr:cNvPr id="291" name="ZoneTexte 290"/>
        <xdr:cNvSpPr txBox="1"/>
      </xdr:nvSpPr>
      <xdr:spPr>
        <a:xfrm>
          <a:off x="5705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92" name="ZoneTexte 291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93" name="ZoneTexte 292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94" name="ZoneTexte 293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295" name="ZoneTexte 294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752475</xdr:colOff>
      <xdr:row>46</xdr:row>
      <xdr:rowOff>123825</xdr:rowOff>
    </xdr:from>
    <xdr:to>
      <xdr:col>7</xdr:col>
      <xdr:colOff>390525</xdr:colOff>
      <xdr:row>47</xdr:row>
      <xdr:rowOff>161925</xdr:rowOff>
    </xdr:to>
    <xdr:sp macro="" textlink="">
      <xdr:nvSpPr>
        <xdr:cNvPr id="296" name="ZoneTexte 295"/>
        <xdr:cNvSpPr txBox="1"/>
      </xdr:nvSpPr>
      <xdr:spPr>
        <a:xfrm>
          <a:off x="5705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297" name="ZoneTexte 296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98" name="ZoneTexte 297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299" name="ZoneTexte 298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00" name="ZoneTexte 299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01" name="ZoneTexte 300"/>
        <xdr:cNvSpPr txBox="1"/>
      </xdr:nvSpPr>
      <xdr:spPr>
        <a:xfrm>
          <a:off x="6530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02" name="ZoneTexte 301"/>
        <xdr:cNvSpPr txBox="1"/>
      </xdr:nvSpPr>
      <xdr:spPr>
        <a:xfrm>
          <a:off x="6530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03" name="ZoneTexte 302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04" name="ZoneTexte 303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05" name="ZoneTexte 304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06" name="ZoneTexte 305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07" name="ZoneTexte 306"/>
        <xdr:cNvSpPr txBox="1"/>
      </xdr:nvSpPr>
      <xdr:spPr>
        <a:xfrm>
          <a:off x="6530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08" name="ZoneTexte 307"/>
        <xdr:cNvSpPr txBox="1"/>
      </xdr:nvSpPr>
      <xdr:spPr>
        <a:xfrm>
          <a:off x="6530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09" name="ZoneTexte 308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10" name="ZoneTexte 309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11" name="ZoneTexte 310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12" name="ZoneTexte 311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13" name="ZoneTexte 312"/>
        <xdr:cNvSpPr txBox="1"/>
      </xdr:nvSpPr>
      <xdr:spPr>
        <a:xfrm>
          <a:off x="6530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14" name="ZoneTexte 313"/>
        <xdr:cNvSpPr txBox="1"/>
      </xdr:nvSpPr>
      <xdr:spPr>
        <a:xfrm>
          <a:off x="6530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15" name="ZoneTexte 314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16" name="ZoneTexte 315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17" name="ZoneTexte 316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18" name="ZoneTexte 317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19" name="ZoneTexte 318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20" name="ZoneTexte 319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21" name="ZoneTexte 320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22" name="ZoneTexte 321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23" name="ZoneTexte 322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24" name="ZoneTexte 323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25" name="ZoneTexte 324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26" name="ZoneTexte 325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27" name="ZoneTexte 326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28" name="ZoneTexte 327"/>
        <xdr:cNvSpPr txBox="1"/>
      </xdr:nvSpPr>
      <xdr:spPr>
        <a:xfrm>
          <a:off x="6530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29" name="ZoneTexte 328"/>
        <xdr:cNvSpPr txBox="1"/>
      </xdr:nvSpPr>
      <xdr:spPr>
        <a:xfrm>
          <a:off x="6530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30" name="ZoneTexte 329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31" name="ZoneTexte 330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32" name="ZoneTexte 331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33" name="ZoneTexte 332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34" name="ZoneTexte 333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35" name="ZoneTexte 334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36" name="ZoneTexte 335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37" name="ZoneTexte 336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38" name="ZoneTexte 337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39" name="ZoneTexte 338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40" name="ZoneTexte 339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41" name="ZoneTexte 340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42" name="ZoneTexte 341"/>
        <xdr:cNvSpPr txBox="1"/>
      </xdr:nvSpPr>
      <xdr:spPr>
        <a:xfrm>
          <a:off x="6530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43" name="ZoneTexte 342"/>
        <xdr:cNvSpPr txBox="1"/>
      </xdr:nvSpPr>
      <xdr:spPr>
        <a:xfrm>
          <a:off x="6530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44" name="ZoneTexte 343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45" name="ZoneTexte 344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46" name="ZoneTexte 345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47" name="ZoneTexte 346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49</xdr:row>
      <xdr:rowOff>123825</xdr:rowOff>
    </xdr:from>
    <xdr:to>
      <xdr:col>8</xdr:col>
      <xdr:colOff>390525</xdr:colOff>
      <xdr:row>50</xdr:row>
      <xdr:rowOff>161925</xdr:rowOff>
    </xdr:to>
    <xdr:sp macro="" textlink="">
      <xdr:nvSpPr>
        <xdr:cNvPr id="348" name="ZoneTexte 347"/>
        <xdr:cNvSpPr txBox="1"/>
      </xdr:nvSpPr>
      <xdr:spPr>
        <a:xfrm>
          <a:off x="6530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50</xdr:row>
      <xdr:rowOff>123825</xdr:rowOff>
    </xdr:from>
    <xdr:to>
      <xdr:col>8</xdr:col>
      <xdr:colOff>390525</xdr:colOff>
      <xdr:row>51</xdr:row>
      <xdr:rowOff>0</xdr:rowOff>
    </xdr:to>
    <xdr:sp macro="" textlink="">
      <xdr:nvSpPr>
        <xdr:cNvPr id="349" name="ZoneTexte 348"/>
        <xdr:cNvSpPr txBox="1"/>
      </xdr:nvSpPr>
      <xdr:spPr>
        <a:xfrm>
          <a:off x="6530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50" name="ZoneTexte 349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51" name="ZoneTexte 350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52" name="ZoneTexte 351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53" name="ZoneTexte 352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54" name="ZoneTexte 353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55" name="ZoneTexte 354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56" name="ZoneTexte 355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57" name="ZoneTexte 356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58" name="ZoneTexte 357"/>
        <xdr:cNvSpPr txBox="1"/>
      </xdr:nvSpPr>
      <xdr:spPr>
        <a:xfrm>
          <a:off x="6530975" y="90646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59" name="ZoneTexte 358"/>
        <xdr:cNvSpPr txBox="1"/>
      </xdr:nvSpPr>
      <xdr:spPr>
        <a:xfrm>
          <a:off x="65309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60" name="ZoneTexte 359"/>
        <xdr:cNvSpPr txBox="1"/>
      </xdr:nvSpPr>
      <xdr:spPr>
        <a:xfrm>
          <a:off x="65309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61" name="ZoneTexte 360"/>
        <xdr:cNvSpPr txBox="1"/>
      </xdr:nvSpPr>
      <xdr:spPr>
        <a:xfrm>
          <a:off x="6530975" y="94710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62" name="ZoneTexte 361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63" name="ZoneTexte 362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64" name="ZoneTexte 363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65" name="ZoneTexte 364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66" name="ZoneTexte 365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67" name="ZoneTexte 366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68" name="ZoneTexte 367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69" name="ZoneTexte 368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70" name="ZoneTexte 369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71" name="ZoneTexte 370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47</xdr:row>
      <xdr:rowOff>123825</xdr:rowOff>
    </xdr:from>
    <xdr:to>
      <xdr:col>8</xdr:col>
      <xdr:colOff>390525</xdr:colOff>
      <xdr:row>48</xdr:row>
      <xdr:rowOff>161925</xdr:rowOff>
    </xdr:to>
    <xdr:sp macro="" textlink="">
      <xdr:nvSpPr>
        <xdr:cNvPr id="372" name="ZoneTexte 371"/>
        <xdr:cNvSpPr txBox="1"/>
      </xdr:nvSpPr>
      <xdr:spPr>
        <a:xfrm>
          <a:off x="6530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48</xdr:row>
      <xdr:rowOff>123825</xdr:rowOff>
    </xdr:from>
    <xdr:to>
      <xdr:col>8</xdr:col>
      <xdr:colOff>390525</xdr:colOff>
      <xdr:row>49</xdr:row>
      <xdr:rowOff>161925</xdr:rowOff>
    </xdr:to>
    <xdr:sp macro="" textlink="">
      <xdr:nvSpPr>
        <xdr:cNvPr id="373" name="ZoneTexte 372"/>
        <xdr:cNvSpPr txBox="1"/>
      </xdr:nvSpPr>
      <xdr:spPr>
        <a:xfrm>
          <a:off x="6530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74" name="ZoneTexte 373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75" name="ZoneTexte 374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76" name="ZoneTexte 375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77" name="ZoneTexte 376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752475</xdr:colOff>
      <xdr:row>46</xdr:row>
      <xdr:rowOff>123825</xdr:rowOff>
    </xdr:from>
    <xdr:to>
      <xdr:col>8</xdr:col>
      <xdr:colOff>390525</xdr:colOff>
      <xdr:row>47</xdr:row>
      <xdr:rowOff>161925</xdr:rowOff>
    </xdr:to>
    <xdr:sp macro="" textlink="">
      <xdr:nvSpPr>
        <xdr:cNvPr id="378" name="ZoneTexte 377"/>
        <xdr:cNvSpPr txBox="1"/>
      </xdr:nvSpPr>
      <xdr:spPr>
        <a:xfrm>
          <a:off x="6530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79" name="ZoneTexte 378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80" name="ZoneTexte 379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81" name="ZoneTexte 380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82" name="ZoneTexte 381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383" name="ZoneTexte 382"/>
        <xdr:cNvSpPr txBox="1"/>
      </xdr:nvSpPr>
      <xdr:spPr>
        <a:xfrm>
          <a:off x="7356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384" name="ZoneTexte 383"/>
        <xdr:cNvSpPr txBox="1"/>
      </xdr:nvSpPr>
      <xdr:spPr>
        <a:xfrm>
          <a:off x="7356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85" name="ZoneTexte 384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86" name="ZoneTexte 385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87" name="ZoneTexte 386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88" name="ZoneTexte 387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389" name="ZoneTexte 388"/>
        <xdr:cNvSpPr txBox="1"/>
      </xdr:nvSpPr>
      <xdr:spPr>
        <a:xfrm>
          <a:off x="7356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390" name="ZoneTexte 389"/>
        <xdr:cNvSpPr txBox="1"/>
      </xdr:nvSpPr>
      <xdr:spPr>
        <a:xfrm>
          <a:off x="7356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91" name="ZoneTexte 390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92" name="ZoneTexte 391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93" name="ZoneTexte 392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394" name="ZoneTexte 393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395" name="ZoneTexte 394"/>
        <xdr:cNvSpPr txBox="1"/>
      </xdr:nvSpPr>
      <xdr:spPr>
        <a:xfrm>
          <a:off x="7356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396" name="ZoneTexte 395"/>
        <xdr:cNvSpPr txBox="1"/>
      </xdr:nvSpPr>
      <xdr:spPr>
        <a:xfrm>
          <a:off x="7356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397" name="ZoneTexte 396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98" name="ZoneTexte 397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399" name="ZoneTexte 398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00" name="ZoneTexte 399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01" name="ZoneTexte 400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02" name="ZoneTexte 401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03" name="ZoneTexte 402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04" name="ZoneTexte 403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05" name="ZoneTexte 404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06" name="ZoneTexte 405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07" name="ZoneTexte 406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08" name="ZoneTexte 407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09" name="ZoneTexte 408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410" name="ZoneTexte 409"/>
        <xdr:cNvSpPr txBox="1"/>
      </xdr:nvSpPr>
      <xdr:spPr>
        <a:xfrm>
          <a:off x="7356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411" name="ZoneTexte 410"/>
        <xdr:cNvSpPr txBox="1"/>
      </xdr:nvSpPr>
      <xdr:spPr>
        <a:xfrm>
          <a:off x="7356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12" name="ZoneTexte 411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13" name="ZoneTexte 412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14" name="ZoneTexte 413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15" name="ZoneTexte 414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16" name="ZoneTexte 415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17" name="ZoneTexte 416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18" name="ZoneTexte 417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19" name="ZoneTexte 418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20" name="ZoneTexte 419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21" name="ZoneTexte 420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22" name="ZoneTexte 421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23" name="ZoneTexte 422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424" name="ZoneTexte 423"/>
        <xdr:cNvSpPr txBox="1"/>
      </xdr:nvSpPr>
      <xdr:spPr>
        <a:xfrm>
          <a:off x="7356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425" name="ZoneTexte 424"/>
        <xdr:cNvSpPr txBox="1"/>
      </xdr:nvSpPr>
      <xdr:spPr>
        <a:xfrm>
          <a:off x="7356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26" name="ZoneTexte 425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27" name="ZoneTexte 426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28" name="ZoneTexte 427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29" name="ZoneTexte 428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49</xdr:row>
      <xdr:rowOff>123825</xdr:rowOff>
    </xdr:from>
    <xdr:to>
      <xdr:col>9</xdr:col>
      <xdr:colOff>390525</xdr:colOff>
      <xdr:row>50</xdr:row>
      <xdr:rowOff>161925</xdr:rowOff>
    </xdr:to>
    <xdr:sp macro="" textlink="">
      <xdr:nvSpPr>
        <xdr:cNvPr id="430" name="ZoneTexte 429"/>
        <xdr:cNvSpPr txBox="1"/>
      </xdr:nvSpPr>
      <xdr:spPr>
        <a:xfrm>
          <a:off x="73564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50</xdr:row>
      <xdr:rowOff>123825</xdr:rowOff>
    </xdr:from>
    <xdr:to>
      <xdr:col>9</xdr:col>
      <xdr:colOff>390525</xdr:colOff>
      <xdr:row>51</xdr:row>
      <xdr:rowOff>0</xdr:rowOff>
    </xdr:to>
    <xdr:sp macro="" textlink="">
      <xdr:nvSpPr>
        <xdr:cNvPr id="431" name="ZoneTexte 430"/>
        <xdr:cNvSpPr txBox="1"/>
      </xdr:nvSpPr>
      <xdr:spPr>
        <a:xfrm>
          <a:off x="73564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32" name="ZoneTexte 431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33" name="ZoneTexte 432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34" name="ZoneTexte 433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35" name="ZoneTexte 434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36" name="ZoneTexte 435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37" name="ZoneTexte 436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38" name="ZoneTexte 437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39" name="ZoneTexte 438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40" name="ZoneTexte 439"/>
        <xdr:cNvSpPr txBox="1"/>
      </xdr:nvSpPr>
      <xdr:spPr>
        <a:xfrm>
          <a:off x="7356475" y="90646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41" name="ZoneTexte 440"/>
        <xdr:cNvSpPr txBox="1"/>
      </xdr:nvSpPr>
      <xdr:spPr>
        <a:xfrm>
          <a:off x="7356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42" name="ZoneTexte 441"/>
        <xdr:cNvSpPr txBox="1"/>
      </xdr:nvSpPr>
      <xdr:spPr>
        <a:xfrm>
          <a:off x="7356475" y="9255125"/>
          <a:ext cx="12890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43" name="ZoneTexte 442"/>
        <xdr:cNvSpPr txBox="1"/>
      </xdr:nvSpPr>
      <xdr:spPr>
        <a:xfrm>
          <a:off x="7356475" y="9471025"/>
          <a:ext cx="12890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44" name="ZoneTexte 443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45" name="ZoneTexte 444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46" name="ZoneTexte 445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47" name="ZoneTexte 446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48" name="ZoneTexte 447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49" name="ZoneTexte 448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50" name="ZoneTexte 449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51" name="ZoneTexte 450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52" name="ZoneTexte 451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53" name="ZoneTexte 452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47</xdr:row>
      <xdr:rowOff>123825</xdr:rowOff>
    </xdr:from>
    <xdr:to>
      <xdr:col>9</xdr:col>
      <xdr:colOff>390525</xdr:colOff>
      <xdr:row>48</xdr:row>
      <xdr:rowOff>161925</xdr:rowOff>
    </xdr:to>
    <xdr:sp macro="" textlink="">
      <xdr:nvSpPr>
        <xdr:cNvPr id="454" name="ZoneTexte 453"/>
        <xdr:cNvSpPr txBox="1"/>
      </xdr:nvSpPr>
      <xdr:spPr>
        <a:xfrm>
          <a:off x="73564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48</xdr:row>
      <xdr:rowOff>123825</xdr:rowOff>
    </xdr:from>
    <xdr:to>
      <xdr:col>9</xdr:col>
      <xdr:colOff>390525</xdr:colOff>
      <xdr:row>49</xdr:row>
      <xdr:rowOff>161925</xdr:rowOff>
    </xdr:to>
    <xdr:sp macro="" textlink="">
      <xdr:nvSpPr>
        <xdr:cNvPr id="455" name="ZoneTexte 454"/>
        <xdr:cNvSpPr txBox="1"/>
      </xdr:nvSpPr>
      <xdr:spPr>
        <a:xfrm>
          <a:off x="73564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56" name="ZoneTexte 455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57" name="ZoneTexte 456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58" name="ZoneTexte 457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59" name="ZoneTexte 458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752475</xdr:colOff>
      <xdr:row>46</xdr:row>
      <xdr:rowOff>123825</xdr:rowOff>
    </xdr:from>
    <xdr:to>
      <xdr:col>9</xdr:col>
      <xdr:colOff>390525</xdr:colOff>
      <xdr:row>47</xdr:row>
      <xdr:rowOff>161925</xdr:rowOff>
    </xdr:to>
    <xdr:sp macro="" textlink="">
      <xdr:nvSpPr>
        <xdr:cNvPr id="460" name="ZoneTexte 459"/>
        <xdr:cNvSpPr txBox="1"/>
      </xdr:nvSpPr>
      <xdr:spPr>
        <a:xfrm>
          <a:off x="73564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61" name="ZoneTexte 460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62" name="ZoneTexte 461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63" name="ZoneTexte 462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64" name="ZoneTexte 463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465" name="ZoneTexte 464"/>
        <xdr:cNvSpPr txBox="1"/>
      </xdr:nvSpPr>
      <xdr:spPr>
        <a:xfrm>
          <a:off x="8181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0</xdr:rowOff>
    </xdr:to>
    <xdr:sp macro="" textlink="">
      <xdr:nvSpPr>
        <xdr:cNvPr id="466" name="ZoneTexte 465"/>
        <xdr:cNvSpPr txBox="1"/>
      </xdr:nvSpPr>
      <xdr:spPr>
        <a:xfrm>
          <a:off x="8181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67" name="ZoneTexte 466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68" name="ZoneTexte 467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69" name="ZoneTexte 468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70" name="ZoneTexte 469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471" name="ZoneTexte 470"/>
        <xdr:cNvSpPr txBox="1"/>
      </xdr:nvSpPr>
      <xdr:spPr>
        <a:xfrm>
          <a:off x="8181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0</xdr:rowOff>
    </xdr:to>
    <xdr:sp macro="" textlink="">
      <xdr:nvSpPr>
        <xdr:cNvPr id="472" name="ZoneTexte 471"/>
        <xdr:cNvSpPr txBox="1"/>
      </xdr:nvSpPr>
      <xdr:spPr>
        <a:xfrm>
          <a:off x="8181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73" name="ZoneTexte 472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74" name="ZoneTexte 473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75" name="ZoneTexte 474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76" name="ZoneTexte 475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49</xdr:row>
      <xdr:rowOff>123825</xdr:rowOff>
    </xdr:from>
    <xdr:to>
      <xdr:col>10</xdr:col>
      <xdr:colOff>390525</xdr:colOff>
      <xdr:row>50</xdr:row>
      <xdr:rowOff>161925</xdr:rowOff>
    </xdr:to>
    <xdr:sp macro="" textlink="">
      <xdr:nvSpPr>
        <xdr:cNvPr id="477" name="ZoneTexte 476"/>
        <xdr:cNvSpPr txBox="1"/>
      </xdr:nvSpPr>
      <xdr:spPr>
        <a:xfrm>
          <a:off x="8181975" y="96615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50</xdr:row>
      <xdr:rowOff>123825</xdr:rowOff>
    </xdr:from>
    <xdr:to>
      <xdr:col>10</xdr:col>
      <xdr:colOff>390525</xdr:colOff>
      <xdr:row>51</xdr:row>
      <xdr:rowOff>0</xdr:rowOff>
    </xdr:to>
    <xdr:sp macro="" textlink="">
      <xdr:nvSpPr>
        <xdr:cNvPr id="478" name="ZoneTexte 477"/>
        <xdr:cNvSpPr txBox="1"/>
      </xdr:nvSpPr>
      <xdr:spPr>
        <a:xfrm>
          <a:off x="8181975" y="9877425"/>
          <a:ext cx="46355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79" name="ZoneTexte 478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80" name="ZoneTexte 479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81" name="ZoneTexte 480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82" name="ZoneTexte 481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83" name="ZoneTexte 482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84" name="ZoneTexte 483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47</xdr:row>
      <xdr:rowOff>123825</xdr:rowOff>
    </xdr:from>
    <xdr:to>
      <xdr:col>10</xdr:col>
      <xdr:colOff>390525</xdr:colOff>
      <xdr:row>48</xdr:row>
      <xdr:rowOff>161925</xdr:rowOff>
    </xdr:to>
    <xdr:sp macro="" textlink="">
      <xdr:nvSpPr>
        <xdr:cNvPr id="485" name="ZoneTexte 484"/>
        <xdr:cNvSpPr txBox="1"/>
      </xdr:nvSpPr>
      <xdr:spPr>
        <a:xfrm>
          <a:off x="8181975" y="9255125"/>
          <a:ext cx="4635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48</xdr:row>
      <xdr:rowOff>123825</xdr:rowOff>
    </xdr:from>
    <xdr:to>
      <xdr:col>10</xdr:col>
      <xdr:colOff>390525</xdr:colOff>
      <xdr:row>49</xdr:row>
      <xdr:rowOff>161925</xdr:rowOff>
    </xdr:to>
    <xdr:sp macro="" textlink="">
      <xdr:nvSpPr>
        <xdr:cNvPr id="486" name="ZoneTexte 485"/>
        <xdr:cNvSpPr txBox="1"/>
      </xdr:nvSpPr>
      <xdr:spPr>
        <a:xfrm>
          <a:off x="8181975" y="94710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752475</xdr:colOff>
      <xdr:row>46</xdr:row>
      <xdr:rowOff>123825</xdr:rowOff>
    </xdr:from>
    <xdr:to>
      <xdr:col>10</xdr:col>
      <xdr:colOff>390525</xdr:colOff>
      <xdr:row>47</xdr:row>
      <xdr:rowOff>161925</xdr:rowOff>
    </xdr:to>
    <xdr:sp macro="" textlink="">
      <xdr:nvSpPr>
        <xdr:cNvPr id="487" name="ZoneTexte 486"/>
        <xdr:cNvSpPr txBox="1"/>
      </xdr:nvSpPr>
      <xdr:spPr>
        <a:xfrm>
          <a:off x="8181975" y="906462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zoomScale="125" zoomScaleNormal="125" zoomScalePageLayoutView="125" workbookViewId="0">
      <selection activeCell="A6" sqref="A6"/>
    </sheetView>
  </sheetViews>
  <sheetFormatPr baseColWidth="10" defaultRowHeight="15" x14ac:dyDescent="0"/>
  <cols>
    <col min="1" max="1" width="7.5" style="160" customWidth="1"/>
    <col min="2" max="2" width="7.33203125" style="160" customWidth="1"/>
    <col min="3" max="3" width="10.83203125" style="160"/>
    <col min="4" max="4" width="8.6640625" style="160" customWidth="1"/>
    <col min="5" max="5" width="7" style="160" customWidth="1"/>
    <col min="6" max="6" width="10.83203125" style="160"/>
    <col min="7" max="7" width="7" style="160" customWidth="1"/>
    <col min="8" max="8" width="7.83203125" style="160" customWidth="1"/>
    <col min="9" max="9" width="8.33203125" style="160" customWidth="1"/>
    <col min="10" max="10" width="7" style="160" customWidth="1"/>
    <col min="11" max="11" width="8.6640625" style="160" customWidth="1"/>
    <col min="12" max="12" width="7.5" style="160" customWidth="1"/>
    <col min="13" max="13" width="7.33203125" style="160" customWidth="1"/>
    <col min="14" max="14" width="7.6640625" style="160" customWidth="1"/>
    <col min="15" max="15" width="7.83203125" style="160" customWidth="1"/>
    <col min="16" max="16" width="8.6640625" style="160" customWidth="1"/>
    <col min="17" max="17" width="10.33203125" style="160" customWidth="1"/>
    <col min="18" max="18" width="5.1640625" style="160" customWidth="1"/>
    <col min="19" max="19" width="6.83203125" style="160" customWidth="1"/>
    <col min="20" max="20" width="7.1640625" style="160" customWidth="1"/>
    <col min="21" max="22" width="8.6640625" style="160" customWidth="1"/>
    <col min="23" max="16384" width="10.83203125" style="160"/>
  </cols>
  <sheetData>
    <row r="1" spans="1:26" s="159" customFormat="1" ht="20">
      <c r="A1" s="158" t="s">
        <v>116</v>
      </c>
    </row>
    <row r="3" spans="1:26">
      <c r="B3" s="161" t="s">
        <v>117</v>
      </c>
    </row>
    <row r="5" spans="1:26" ht="17">
      <c r="A5" s="162" t="s">
        <v>122</v>
      </c>
      <c r="B5" s="163" t="s">
        <v>141</v>
      </c>
      <c r="C5" s="162" t="s">
        <v>123</v>
      </c>
      <c r="D5" s="162" t="s">
        <v>124</v>
      </c>
      <c r="E5" s="163" t="s">
        <v>142</v>
      </c>
      <c r="F5" s="162" t="s">
        <v>125</v>
      </c>
      <c r="G5" s="163" t="s">
        <v>143</v>
      </c>
      <c r="H5" s="164" t="s">
        <v>158</v>
      </c>
      <c r="I5" s="165" t="s">
        <v>140</v>
      </c>
      <c r="J5" s="166" t="s">
        <v>139</v>
      </c>
      <c r="K5" s="162" t="s">
        <v>126</v>
      </c>
      <c r="L5" s="162" t="s">
        <v>136</v>
      </c>
      <c r="M5" s="162" t="s">
        <v>146</v>
      </c>
      <c r="N5" s="162" t="s">
        <v>147</v>
      </c>
      <c r="O5" s="162" t="s">
        <v>145</v>
      </c>
      <c r="P5" s="165" t="s">
        <v>2</v>
      </c>
      <c r="Q5" s="165" t="s">
        <v>3</v>
      </c>
      <c r="R5" s="167" t="s">
        <v>42</v>
      </c>
      <c r="S5" s="168" t="s">
        <v>167</v>
      </c>
      <c r="T5" s="165" t="s">
        <v>127</v>
      </c>
      <c r="U5" s="162" t="s">
        <v>137</v>
      </c>
      <c r="W5" s="169"/>
      <c r="X5" s="169"/>
      <c r="Y5" s="169"/>
      <c r="Z5" s="170"/>
    </row>
    <row r="6" spans="1:26">
      <c r="A6" s="121"/>
      <c r="B6" s="197"/>
      <c r="C6" s="121"/>
      <c r="D6" s="121"/>
      <c r="E6" s="119"/>
      <c r="F6" s="121"/>
      <c r="G6" s="198"/>
      <c r="H6" s="199"/>
      <c r="I6" s="198"/>
      <c r="J6" s="116"/>
      <c r="K6" s="117"/>
      <c r="L6" s="121"/>
      <c r="M6" s="121"/>
      <c r="N6" s="121"/>
      <c r="O6" s="121"/>
      <c r="P6" s="118"/>
      <c r="Q6" s="119"/>
      <c r="R6" s="200"/>
      <c r="S6" s="120"/>
      <c r="T6" s="120"/>
      <c r="U6" s="119"/>
      <c r="V6" s="171"/>
      <c r="W6" s="172"/>
      <c r="Y6" s="172"/>
      <c r="Z6" s="170"/>
    </row>
    <row r="7" spans="1:26">
      <c r="B7" s="173"/>
      <c r="C7" s="173"/>
      <c r="D7" s="173"/>
      <c r="E7" s="173"/>
      <c r="F7" s="173"/>
      <c r="G7" s="173"/>
      <c r="H7" s="173"/>
      <c r="I7" s="173"/>
      <c r="J7" s="173"/>
      <c r="K7" s="174"/>
      <c r="L7" s="175"/>
    </row>
    <row r="8" spans="1:26" ht="17">
      <c r="B8" s="176" t="s">
        <v>4</v>
      </c>
      <c r="C8" s="176" t="s">
        <v>149</v>
      </c>
      <c r="D8" s="177"/>
      <c r="E8" s="178"/>
      <c r="F8" s="173"/>
      <c r="G8" s="173"/>
      <c r="I8" s="173"/>
      <c r="J8" s="173"/>
      <c r="K8" s="173"/>
      <c r="L8" s="173"/>
      <c r="R8" s="179" t="s">
        <v>138</v>
      </c>
    </row>
    <row r="9" spans="1:26">
      <c r="B9" s="176">
        <v>1</v>
      </c>
      <c r="C9" s="201"/>
      <c r="D9" s="177"/>
      <c r="E9" s="178"/>
      <c r="F9" s="173"/>
      <c r="G9" s="173"/>
      <c r="I9" s="173"/>
      <c r="J9" s="173"/>
      <c r="K9" s="173"/>
      <c r="L9" s="173"/>
    </row>
    <row r="10" spans="1:26">
      <c r="B10" s="176">
        <v>2</v>
      </c>
      <c r="C10" s="201"/>
      <c r="D10" s="180"/>
      <c r="E10" s="181"/>
      <c r="F10" s="173"/>
      <c r="G10" s="173"/>
      <c r="H10" s="173"/>
      <c r="I10" s="173"/>
      <c r="J10" s="173"/>
      <c r="K10" s="173"/>
      <c r="L10" s="173"/>
    </row>
    <row r="11" spans="1:26">
      <c r="B11" s="176">
        <v>3</v>
      </c>
      <c r="C11" s="201"/>
      <c r="D11" s="180"/>
      <c r="E11" s="181"/>
      <c r="F11" s="173"/>
      <c r="G11" s="173"/>
      <c r="H11" s="173"/>
      <c r="I11" s="173"/>
      <c r="J11" s="173"/>
      <c r="K11" s="173"/>
      <c r="L11" s="173"/>
    </row>
    <row r="12" spans="1:26">
      <c r="B12" s="176">
        <v>4</v>
      </c>
      <c r="C12" s="126"/>
      <c r="D12" s="182"/>
      <c r="E12" s="181"/>
      <c r="F12" s="173"/>
      <c r="G12" s="173"/>
      <c r="H12" s="173"/>
      <c r="I12" s="173"/>
      <c r="J12" s="173"/>
      <c r="K12" s="173"/>
      <c r="L12" s="173"/>
    </row>
    <row r="13" spans="1:26">
      <c r="B13" s="176">
        <v>5</v>
      </c>
      <c r="C13" s="201"/>
      <c r="D13" s="180"/>
      <c r="E13" s="181"/>
      <c r="F13" s="173"/>
      <c r="G13" s="173"/>
      <c r="H13" s="173"/>
      <c r="I13" s="173"/>
      <c r="J13" s="173"/>
      <c r="K13" s="173"/>
      <c r="L13" s="173"/>
    </row>
    <row r="14" spans="1:26">
      <c r="B14" s="176">
        <v>6</v>
      </c>
      <c r="C14" s="201"/>
      <c r="D14" s="180"/>
      <c r="E14" s="181"/>
      <c r="F14" s="173"/>
      <c r="G14" s="173"/>
      <c r="H14" s="173"/>
      <c r="I14" s="173"/>
      <c r="J14" s="173"/>
      <c r="K14" s="173"/>
      <c r="L14" s="173"/>
    </row>
    <row r="15" spans="1:26">
      <c r="B15" s="183">
        <v>7</v>
      </c>
      <c r="C15" s="201"/>
      <c r="D15" s="180"/>
      <c r="E15" s="181"/>
      <c r="F15" s="173"/>
      <c r="G15" s="173"/>
      <c r="H15" s="173"/>
      <c r="I15" s="173"/>
      <c r="J15" s="173"/>
      <c r="K15" s="173"/>
      <c r="L15" s="173"/>
    </row>
    <row r="16" spans="1:26"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</row>
    <row r="17" spans="2:12">
      <c r="B17" s="173"/>
      <c r="C17" s="173"/>
      <c r="D17" s="173"/>
      <c r="E17" s="184"/>
      <c r="F17" s="173"/>
      <c r="G17" s="173"/>
      <c r="H17" s="173"/>
      <c r="I17" s="173"/>
      <c r="J17" s="173"/>
      <c r="K17" s="173"/>
      <c r="L17" s="173"/>
    </row>
    <row r="18" spans="2:12"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</row>
    <row r="19" spans="2:12"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</row>
    <row r="20" spans="2:12"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</row>
    <row r="21" spans="2:12"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</row>
    <row r="22" spans="2:12"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</row>
    <row r="23" spans="2:12"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</row>
    <row r="24" spans="2:12"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</row>
    <row r="25" spans="2:12"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</row>
    <row r="28" spans="2:12">
      <c r="B28" s="161" t="s">
        <v>118</v>
      </c>
    </row>
    <row r="30" spans="2:12">
      <c r="C30" s="185" t="s">
        <v>144</v>
      </c>
      <c r="D30" s="120"/>
    </row>
    <row r="31" spans="2:12">
      <c r="C31" s="186" t="s">
        <v>85</v>
      </c>
      <c r="D31" s="187" t="e">
        <f>D30/(J6)</f>
        <v>#DIV/0!</v>
      </c>
    </row>
    <row r="32" spans="2:12" ht="17">
      <c r="C32" s="188" t="s">
        <v>88</v>
      </c>
      <c r="D32" s="187">
        <f>E6*180/PI()</f>
        <v>0</v>
      </c>
    </row>
    <row r="33" spans="2:8">
      <c r="C33" s="189" t="s">
        <v>86</v>
      </c>
      <c r="D33" s="187" t="e">
        <f>L6/(J6)</f>
        <v>#DIV/0!</v>
      </c>
    </row>
    <row r="34" spans="2:8">
      <c r="C34" s="186" t="s">
        <v>87</v>
      </c>
      <c r="D34" s="187">
        <f>500*SIN(E6)</f>
        <v>0</v>
      </c>
    </row>
    <row r="35" spans="2:8" ht="17">
      <c r="B35" s="190" t="s">
        <v>89</v>
      </c>
      <c r="C35" s="191" t="s">
        <v>90</v>
      </c>
      <c r="D35" s="187" t="e">
        <f>0.04*(J6)*Q6/P6</f>
        <v>#DIV/0!</v>
      </c>
    </row>
    <row r="39" spans="2:8">
      <c r="B39" s="161" t="s">
        <v>150</v>
      </c>
    </row>
    <row r="41" spans="2:8" ht="18">
      <c r="B41" s="192" t="s">
        <v>119</v>
      </c>
      <c r="C41" s="193" t="e">
        <f>'moment (4)'!B35</f>
        <v>#DIV/0!</v>
      </c>
      <c r="D41" s="194" t="s">
        <v>84</v>
      </c>
      <c r="F41" s="195" t="s">
        <v>120</v>
      </c>
      <c r="G41" s="193" t="e">
        <f>Feuil1!K12</f>
        <v>#DIV/0!</v>
      </c>
      <c r="H41" s="196" t="s">
        <v>121</v>
      </c>
    </row>
  </sheetData>
  <sheetProtection password="DDF1" sheet="1" objects="1" scenarios="1" selectLockedCells="1"/>
  <phoneticPr fontId="30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22" workbookViewId="0">
      <selection activeCell="I3" sqref="I3"/>
    </sheetView>
  </sheetViews>
  <sheetFormatPr baseColWidth="10" defaultRowHeight="15" x14ac:dyDescent="0"/>
  <cols>
    <col min="9" max="9" width="14.6640625" bestFit="1" customWidth="1"/>
  </cols>
  <sheetData>
    <row r="2" spans="2:9" ht="17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5"/>
      <c r="H2" s="5"/>
      <c r="I2" s="5"/>
    </row>
    <row r="3" spans="2:9">
      <c r="B3" s="2">
        <f>('data 2'!C28+'data 2'!C29+'data 2'!C30+'data 2'!C31/2)*2</f>
        <v>0</v>
      </c>
      <c r="C3" s="2">
        <f>flange!B5</f>
        <v>0</v>
      </c>
      <c r="D3" s="2">
        <f>flange!C5</f>
        <v>0</v>
      </c>
      <c r="E3" s="2">
        <f>'data 2'!M3</f>
        <v>0</v>
      </c>
      <c r="F3" s="49">
        <f>data!P6</f>
        <v>0</v>
      </c>
      <c r="G3" s="5"/>
      <c r="H3" s="5"/>
      <c r="I3" s="5"/>
    </row>
    <row r="4" spans="2:9">
      <c r="B4" s="5"/>
      <c r="C4" s="5"/>
      <c r="D4" s="5"/>
      <c r="E4" s="5"/>
      <c r="F4" s="5"/>
      <c r="G4" s="5"/>
      <c r="H4" s="5"/>
      <c r="I4" s="5"/>
    </row>
    <row r="5" spans="2:9" ht="17">
      <c r="B5" s="21" t="s">
        <v>48</v>
      </c>
      <c r="C5" s="21" t="s">
        <v>49</v>
      </c>
      <c r="D5" s="21" t="s">
        <v>29</v>
      </c>
      <c r="E5" s="21" t="s">
        <v>30</v>
      </c>
      <c r="F5" s="21" t="s">
        <v>31</v>
      </c>
      <c r="G5" s="21" t="s">
        <v>32</v>
      </c>
      <c r="H5" s="21" t="s">
        <v>33</v>
      </c>
      <c r="I5" s="21" t="s">
        <v>34</v>
      </c>
    </row>
    <row r="6" spans="2:9">
      <c r="B6" s="21" t="s">
        <v>50</v>
      </c>
      <c r="C6" s="28">
        <f>15*D$3-'data 2'!C17</f>
        <v>0</v>
      </c>
      <c r="D6" s="28">
        <f>C6*$D$3</f>
        <v>0</v>
      </c>
      <c r="E6" s="28">
        <v>0</v>
      </c>
      <c r="F6" s="28">
        <f>D6*E6</f>
        <v>0</v>
      </c>
      <c r="G6" s="52" t="e">
        <f>$G$15-E6</f>
        <v>#DIV/0!</v>
      </c>
      <c r="H6" s="52">
        <f>D3</f>
        <v>0</v>
      </c>
      <c r="I6" s="71" t="e">
        <f>D6*H6^2/12+D6*G6^2</f>
        <v>#DIV/0!</v>
      </c>
    </row>
    <row r="7" spans="2:9">
      <c r="B7" s="65">
        <v>2</v>
      </c>
      <c r="C7" s="66">
        <f>'data 2'!C31</f>
        <v>0</v>
      </c>
      <c r="D7" s="66">
        <f t="shared" ref="D7:D14" si="0">C7*$D$3</f>
        <v>0</v>
      </c>
      <c r="E7" s="66" t="e">
        <f>'data 2'!C25</f>
        <v>#DIV/0!</v>
      </c>
      <c r="F7" s="66" t="e">
        <f t="shared" ref="F7:F14" si="1">D7*E7</f>
        <v>#DIV/0!</v>
      </c>
      <c r="G7" s="67" t="e">
        <f t="shared" ref="G7:G14" si="2">$G$15-E7</f>
        <v>#DIV/0!</v>
      </c>
      <c r="H7" s="67"/>
      <c r="I7" s="72" t="e">
        <f>$D$3*'data 2'!E$3^3*(('data 2'!B$3+SIN('data 2'!B$3)*COS('data 2'!B$3))/2-SIN('data 2'!B$3)^2/'data 2'!B$3)+D7*G7^2</f>
        <v>#DIV/0!</v>
      </c>
    </row>
    <row r="8" spans="2:9">
      <c r="B8" s="22">
        <v>3</v>
      </c>
      <c r="C8" s="69">
        <f>'data 2'!C30</f>
        <v>0</v>
      </c>
      <c r="D8" s="69">
        <f t="shared" si="0"/>
        <v>0</v>
      </c>
      <c r="E8" s="54">
        <f>data!O6/2</f>
        <v>0</v>
      </c>
      <c r="F8" s="69">
        <f t="shared" si="1"/>
        <v>0</v>
      </c>
      <c r="G8" s="70" t="e">
        <f t="shared" si="2"/>
        <v>#DIV/0!</v>
      </c>
      <c r="H8" s="70">
        <f>'data 2'!M30</f>
        <v>0</v>
      </c>
      <c r="I8" s="73" t="e">
        <f>D8*H8^2/12+D8*G8^2</f>
        <v>#DIV/0!</v>
      </c>
    </row>
    <row r="9" spans="2:9">
      <c r="B9" s="65">
        <v>4</v>
      </c>
      <c r="C9" s="66">
        <f>'data 2'!C29</f>
        <v>0</v>
      </c>
      <c r="D9" s="66">
        <f t="shared" si="0"/>
        <v>0</v>
      </c>
      <c r="E9" s="68" t="e">
        <f>data!O6-'data 2'!C25</f>
        <v>#DIV/0!</v>
      </c>
      <c r="F9" s="66" t="e">
        <f t="shared" si="1"/>
        <v>#DIV/0!</v>
      </c>
      <c r="G9" s="67" t="e">
        <f t="shared" si="2"/>
        <v>#DIV/0!</v>
      </c>
      <c r="H9" s="67"/>
      <c r="I9" s="72" t="e">
        <f>$D$3*'data 2'!E$3^3*(('data 2'!B$3+SIN('data 2'!B$3)*COS('data 2'!B$3))/2-SIN('data 2'!B$3)^2/'data 2'!B$3)+D9*G9^2</f>
        <v>#DIV/0!</v>
      </c>
    </row>
    <row r="10" spans="2:9">
      <c r="B10" s="21">
        <v>5</v>
      </c>
      <c r="C10" s="28">
        <f>'data 2'!C28*2</f>
        <v>0</v>
      </c>
      <c r="D10" s="28">
        <f t="shared" si="0"/>
        <v>0</v>
      </c>
      <c r="E10" s="54">
        <f>data!O6</f>
        <v>0</v>
      </c>
      <c r="F10" s="28">
        <f t="shared" si="1"/>
        <v>0</v>
      </c>
      <c r="G10" s="52" t="e">
        <f t="shared" si="2"/>
        <v>#DIV/0!</v>
      </c>
      <c r="H10" s="52">
        <f>D3</f>
        <v>0</v>
      </c>
      <c r="I10" s="71" t="e">
        <f>D10*H10^2/12+D10*G10^2</f>
        <v>#DIV/0!</v>
      </c>
    </row>
    <row r="11" spans="2:9">
      <c r="B11" s="65">
        <v>6</v>
      </c>
      <c r="C11" s="66">
        <f>'data 2'!C29</f>
        <v>0</v>
      </c>
      <c r="D11" s="66">
        <f t="shared" si="0"/>
        <v>0</v>
      </c>
      <c r="E11" s="68" t="e">
        <f>E9</f>
        <v>#DIV/0!</v>
      </c>
      <c r="F11" s="66" t="e">
        <f t="shared" si="1"/>
        <v>#DIV/0!</v>
      </c>
      <c r="G11" s="67" t="e">
        <f t="shared" si="2"/>
        <v>#DIV/0!</v>
      </c>
      <c r="H11" s="67"/>
      <c r="I11" s="72" t="e">
        <f>I9</f>
        <v>#DIV/0!</v>
      </c>
    </row>
    <row r="12" spans="2:9">
      <c r="B12" s="21">
        <v>7</v>
      </c>
      <c r="C12" s="69">
        <f>'data 2'!C30</f>
        <v>0</v>
      </c>
      <c r="D12" s="28">
        <f t="shared" si="0"/>
        <v>0</v>
      </c>
      <c r="E12" s="55">
        <f>E8</f>
        <v>0</v>
      </c>
      <c r="F12" s="28">
        <f t="shared" si="1"/>
        <v>0</v>
      </c>
      <c r="G12" s="52" t="e">
        <f t="shared" si="2"/>
        <v>#DIV/0!</v>
      </c>
      <c r="H12" s="52">
        <f>H8</f>
        <v>0</v>
      </c>
      <c r="I12" s="71" t="e">
        <f>D12*H12^2/12+D12*G12^2</f>
        <v>#DIV/0!</v>
      </c>
    </row>
    <row r="13" spans="2:9">
      <c r="B13" s="65">
        <v>8</v>
      </c>
      <c r="C13" s="66">
        <f>'data 2'!C31</f>
        <v>0</v>
      </c>
      <c r="D13" s="66">
        <f t="shared" si="0"/>
        <v>0</v>
      </c>
      <c r="E13" s="68" t="e">
        <f>E7</f>
        <v>#DIV/0!</v>
      </c>
      <c r="F13" s="66" t="e">
        <f t="shared" si="1"/>
        <v>#DIV/0!</v>
      </c>
      <c r="G13" s="67" t="e">
        <f t="shared" si="2"/>
        <v>#DIV/0!</v>
      </c>
      <c r="H13" s="67"/>
      <c r="I13" s="72" t="e">
        <f>$D$3*'data 2'!E$3^3*(('data 2'!B$3+SIN('data 2'!B$3)*COS('data 2'!B$3))/2-SIN('data 2'!B$3)^2/'data 2'!B$3)+D13*G13^2</f>
        <v>#DIV/0!</v>
      </c>
    </row>
    <row r="14" spans="2:9">
      <c r="B14" s="21" t="s">
        <v>51</v>
      </c>
      <c r="C14" s="28">
        <f>C6</f>
        <v>0</v>
      </c>
      <c r="D14" s="28">
        <f t="shared" si="0"/>
        <v>0</v>
      </c>
      <c r="E14" s="28">
        <f>E6</f>
        <v>0</v>
      </c>
      <c r="F14" s="28">
        <f t="shared" si="1"/>
        <v>0</v>
      </c>
      <c r="G14" s="52" t="e">
        <f t="shared" si="2"/>
        <v>#DIV/0!</v>
      </c>
      <c r="H14" s="52">
        <f>H6</f>
        <v>0</v>
      </c>
      <c r="I14" s="71" t="e">
        <f>D14*H14^2/12+D14*G14^2</f>
        <v>#DIV/0!</v>
      </c>
    </row>
    <row r="15" spans="2:9">
      <c r="B15" s="56" t="s">
        <v>52</v>
      </c>
      <c r="C15" s="55"/>
      <c r="D15" s="57">
        <f>SUM(D6:D14)</f>
        <v>0</v>
      </c>
      <c r="E15" s="58"/>
      <c r="F15" s="28" t="e">
        <f>SUM(F6:F14)</f>
        <v>#DIV/0!</v>
      </c>
      <c r="G15" s="58" t="e">
        <f>F15/D15</f>
        <v>#DIV/0!</v>
      </c>
      <c r="H15" s="58"/>
      <c r="I15" s="71" t="e">
        <f>SUM(I6:I14)</f>
        <v>#DIV/0!</v>
      </c>
    </row>
    <row r="16" spans="2:9">
      <c r="B16" s="59"/>
      <c r="C16" s="59"/>
      <c r="D16" s="59"/>
      <c r="E16" s="59"/>
      <c r="F16" s="59"/>
      <c r="G16" s="59"/>
      <c r="H16" s="60"/>
      <c r="I16" s="60"/>
    </row>
    <row r="17" spans="2:9" ht="17">
      <c r="B17" s="21" t="s">
        <v>48</v>
      </c>
      <c r="C17" s="21" t="s">
        <v>49</v>
      </c>
      <c r="D17" s="21" t="s">
        <v>29</v>
      </c>
      <c r="E17" s="21"/>
      <c r="F17" s="21"/>
      <c r="G17" s="21"/>
      <c r="H17" s="21"/>
      <c r="I17" s="21"/>
    </row>
    <row r="18" spans="2:9">
      <c r="B18" s="21" t="s">
        <v>50</v>
      </c>
      <c r="C18" s="87" t="e">
        <f>'flange (2)'!O5-'data 2'!C17</f>
        <v>#DIV/0!</v>
      </c>
      <c r="D18" s="28" t="e">
        <f>C18*$D$3</f>
        <v>#DIV/0!</v>
      </c>
      <c r="E18" s="28"/>
      <c r="F18" s="28"/>
      <c r="G18" s="52"/>
      <c r="H18" s="52"/>
      <c r="I18" s="26"/>
    </row>
    <row r="19" spans="2:9">
      <c r="B19" s="21">
        <v>2</v>
      </c>
      <c r="C19" s="28">
        <f>C7</f>
        <v>0</v>
      </c>
      <c r="D19" s="28">
        <f t="shared" ref="D19:D26" si="3">C19*$D$3</f>
        <v>0</v>
      </c>
      <c r="E19" s="28"/>
      <c r="F19" s="28"/>
      <c r="G19" s="52"/>
      <c r="H19" s="52"/>
      <c r="I19" s="53"/>
    </row>
    <row r="20" spans="2:9">
      <c r="B20" s="21">
        <v>3</v>
      </c>
      <c r="C20" s="28">
        <f t="shared" ref="C20:C25" si="4">C8</f>
        <v>0</v>
      </c>
      <c r="D20" s="28">
        <f t="shared" si="3"/>
        <v>0</v>
      </c>
      <c r="E20" s="54"/>
      <c r="F20" s="28"/>
      <c r="G20" s="52"/>
      <c r="H20" s="52"/>
      <c r="I20" s="2"/>
    </row>
    <row r="21" spans="2:9">
      <c r="B21" s="21">
        <v>4</v>
      </c>
      <c r="C21" s="28">
        <f t="shared" si="4"/>
        <v>0</v>
      </c>
      <c r="D21" s="28">
        <f t="shared" si="3"/>
        <v>0</v>
      </c>
      <c r="E21" s="55"/>
      <c r="F21" s="28"/>
      <c r="G21" s="52"/>
      <c r="H21" s="52"/>
      <c r="I21" s="53"/>
    </row>
    <row r="22" spans="2:9">
      <c r="B22" s="21">
        <v>5</v>
      </c>
      <c r="C22" s="28">
        <f t="shared" si="4"/>
        <v>0</v>
      </c>
      <c r="D22" s="28">
        <f t="shared" si="3"/>
        <v>0</v>
      </c>
      <c r="E22" s="54"/>
      <c r="F22" s="28"/>
      <c r="G22" s="52"/>
      <c r="H22" s="52"/>
      <c r="I22" s="2"/>
    </row>
    <row r="23" spans="2:9">
      <c r="B23" s="21">
        <v>6</v>
      </c>
      <c r="C23" s="28">
        <f t="shared" si="4"/>
        <v>0</v>
      </c>
      <c r="D23" s="28">
        <f t="shared" si="3"/>
        <v>0</v>
      </c>
      <c r="E23" s="55"/>
      <c r="F23" s="28"/>
      <c r="G23" s="52"/>
      <c r="H23" s="52"/>
      <c r="I23" s="53"/>
    </row>
    <row r="24" spans="2:9">
      <c r="B24" s="21">
        <v>7</v>
      </c>
      <c r="C24" s="28">
        <f t="shared" si="4"/>
        <v>0</v>
      </c>
      <c r="D24" s="28">
        <f>C24*$D$3</f>
        <v>0</v>
      </c>
      <c r="E24" s="55"/>
      <c r="F24" s="28"/>
      <c r="G24" s="52"/>
      <c r="H24" s="52"/>
      <c r="I24" s="53"/>
    </row>
    <row r="25" spans="2:9">
      <c r="B25" s="21">
        <v>8</v>
      </c>
      <c r="C25" s="28">
        <f t="shared" si="4"/>
        <v>0</v>
      </c>
      <c r="D25" s="28">
        <f t="shared" si="3"/>
        <v>0</v>
      </c>
      <c r="E25" s="55"/>
      <c r="F25" s="28"/>
      <c r="G25" s="52"/>
      <c r="H25" s="52"/>
      <c r="I25" s="53"/>
    </row>
    <row r="26" spans="2:9">
      <c r="B26" s="21" t="s">
        <v>51</v>
      </c>
      <c r="C26" s="28" t="e">
        <f>C18</f>
        <v>#DIV/0!</v>
      </c>
      <c r="D26" s="28" t="e">
        <f t="shared" si="3"/>
        <v>#DIV/0!</v>
      </c>
      <c r="E26" s="28"/>
      <c r="F26" s="28"/>
      <c r="G26" s="52"/>
      <c r="H26" s="52"/>
      <c r="I26" s="61"/>
    </row>
    <row r="27" spans="2:9">
      <c r="B27" s="56" t="s">
        <v>52</v>
      </c>
      <c r="C27" s="55"/>
      <c r="D27" s="57" t="e">
        <f>SUM(D18:D26)</f>
        <v>#DIV/0!</v>
      </c>
      <c r="E27" s="58"/>
      <c r="F27" s="28"/>
      <c r="G27" s="58"/>
      <c r="H27" s="58"/>
      <c r="I27" s="2"/>
    </row>
    <row r="28" spans="2:9">
      <c r="B28" s="59"/>
      <c r="C28" s="59"/>
      <c r="D28" s="59"/>
      <c r="E28" s="59"/>
      <c r="F28" s="59"/>
      <c r="G28" s="59"/>
      <c r="H28" s="60"/>
      <c r="I28" s="60"/>
    </row>
    <row r="29" spans="2:9">
      <c r="B29" s="59"/>
      <c r="C29" s="59"/>
      <c r="D29" s="59"/>
      <c r="E29" s="59"/>
      <c r="F29" s="59"/>
      <c r="G29" s="59"/>
      <c r="H29" s="60"/>
      <c r="I29" s="60"/>
    </row>
    <row r="30" spans="2:9" ht="17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>
      <c r="B31" s="2">
        <f>2*C3+B3</f>
        <v>0</v>
      </c>
      <c r="C31" s="2"/>
      <c r="D31" s="2">
        <f>'data 2'!K3</f>
        <v>0</v>
      </c>
      <c r="E31" s="2" t="e">
        <f>'data 2'!N3</f>
        <v>#DIV/0!</v>
      </c>
      <c r="F31" s="2" t="e">
        <f>3.07*(I15*C3^2*(2*C3+3*B3)/D3^3)^0.25</f>
        <v>#DIV/0!</v>
      </c>
      <c r="G31" s="2" t="e">
        <f>F31/E31</f>
        <v>#DIV/0!</v>
      </c>
      <c r="H31" s="2" t="e">
        <f>((E31+2*B31)/(E31+0.5*B31))^0.5</f>
        <v>#DIV/0!</v>
      </c>
      <c r="I31" s="62" t="e">
        <f>IF(G31&gt;2,H31,(H31-(H31-1)*(2*F31/E31-(F31/E31)^2)))</f>
        <v>#DIV/0!</v>
      </c>
    </row>
    <row r="32" spans="2:9">
      <c r="B32" s="5"/>
      <c r="C32" s="5"/>
      <c r="D32" s="5"/>
      <c r="E32" s="5"/>
      <c r="F32" s="5"/>
      <c r="G32" s="5"/>
      <c r="H32" s="5"/>
      <c r="I32" s="5"/>
    </row>
    <row r="33" spans="2:9" ht="17">
      <c r="B33" s="1" t="s">
        <v>60</v>
      </c>
      <c r="C33" s="5"/>
      <c r="D33" s="5"/>
      <c r="E33" s="5"/>
      <c r="F33" s="5"/>
      <c r="G33" s="5"/>
      <c r="H33" s="5"/>
      <c r="I33" s="5"/>
    </row>
    <row r="34" spans="2:9">
      <c r="B34" s="2" t="e">
        <f>4.2*I31*E3/D27*(I15*D3^3/4/C3^2/(2*C3+3*B3))^0.5</f>
        <v>#DIV/0!</v>
      </c>
      <c r="C34" s="5"/>
      <c r="D34" s="5"/>
      <c r="E34" s="5"/>
      <c r="F34" s="5"/>
      <c r="G34" s="5"/>
      <c r="H34" s="5"/>
      <c r="I34" s="5"/>
    </row>
    <row r="36" spans="2:9" ht="17">
      <c r="B36" s="1" t="s">
        <v>2</v>
      </c>
      <c r="C36" s="1" t="s">
        <v>61</v>
      </c>
      <c r="D36" s="1" t="s">
        <v>62</v>
      </c>
      <c r="E36" s="1" t="s">
        <v>63</v>
      </c>
    </row>
    <row r="37" spans="2:9">
      <c r="B37" s="53">
        <f>'data 2'!L3</f>
        <v>0</v>
      </c>
      <c r="C37" s="50" t="e">
        <f>(B37/B34)^0.5</f>
        <v>#DIV/0!</v>
      </c>
      <c r="D37" s="75" t="e">
        <f>IF(C37&lt;0.65,1,(1.47-0.723*C37))</f>
        <v>#DIV/0!</v>
      </c>
      <c r="E37" s="75" t="e">
        <f>IF(C37&gt;1.38,0.66/C37,D37)</f>
        <v>#DIV/0!</v>
      </c>
    </row>
    <row r="39" spans="2:9" ht="17">
      <c r="B39" s="2" t="s">
        <v>64</v>
      </c>
      <c r="C39" s="21" t="s">
        <v>65</v>
      </c>
      <c r="E39" t="s">
        <v>66</v>
      </c>
    </row>
    <row r="40" spans="2:9">
      <c r="B40" s="63" t="e">
        <f>E37</f>
        <v>#DIV/0!</v>
      </c>
      <c r="C40" s="28" t="e">
        <f>B40*D3*B37/'flange (2)'!J5/'flange (2)'!K5</f>
        <v>#DIV/0!</v>
      </c>
      <c r="E40" s="23" t="e">
        <f>B37/'flange (2)'!K5/'flange (2)'!J5</f>
        <v>#DIV/0!</v>
      </c>
      <c r="G40" s="64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topLeftCell="A13" workbookViewId="0">
      <selection activeCell="I3" sqref="I3"/>
    </sheetView>
  </sheetViews>
  <sheetFormatPr baseColWidth="10" defaultRowHeight="15" x14ac:dyDescent="0"/>
  <cols>
    <col min="2" max="2" width="5" customWidth="1"/>
    <col min="3" max="3" width="5.83203125" customWidth="1"/>
    <col min="6" max="6" width="5.6640625" customWidth="1"/>
    <col min="7" max="7" width="9.1640625" customWidth="1"/>
    <col min="8" max="8" width="7" customWidth="1"/>
    <col min="9" max="9" width="5.33203125" customWidth="1"/>
    <col min="10" max="10" width="7.83203125" customWidth="1"/>
    <col min="11" max="11" width="7.1640625" customWidth="1"/>
    <col min="12" max="12" width="6.6640625" customWidth="1"/>
    <col min="13" max="13" width="6.5" customWidth="1"/>
    <col min="14" max="14" width="8.1640625" customWidth="1"/>
    <col min="15" max="15" width="7.1640625" customWidth="1"/>
  </cols>
  <sheetData>
    <row r="2" spans="2:15">
      <c r="B2" s="5" t="s">
        <v>67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7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45" t="s">
        <v>38</v>
      </c>
      <c r="H4" s="46" t="s">
        <v>39</v>
      </c>
      <c r="I4" s="1" t="s">
        <v>40</v>
      </c>
      <c r="J4" s="47" t="s">
        <v>41</v>
      </c>
      <c r="K4" s="48" t="s">
        <v>42</v>
      </c>
      <c r="L4" s="1" t="s">
        <v>43</v>
      </c>
      <c r="M4" s="1" t="s">
        <v>44</v>
      </c>
      <c r="N4" s="3" t="s">
        <v>45</v>
      </c>
      <c r="O4" s="3" t="s">
        <v>46</v>
      </c>
    </row>
    <row r="5" spans="2:15">
      <c r="B5" s="2">
        <f>flange!B5</f>
        <v>0</v>
      </c>
      <c r="C5" s="2">
        <f>flange!C5</f>
        <v>0</v>
      </c>
      <c r="D5" s="2">
        <f>flange!D5</f>
        <v>0</v>
      </c>
      <c r="E5" s="2">
        <f>flange!E5</f>
        <v>0</v>
      </c>
      <c r="F5" s="2">
        <v>4</v>
      </c>
      <c r="G5" s="2">
        <v>1</v>
      </c>
      <c r="H5" s="2" t="e">
        <f>(235/D5)^0.5</f>
        <v>#DIV/0!</v>
      </c>
      <c r="I5" s="50" t="e">
        <f>B5/C5/28.4/H5/(F5)^0.5</f>
        <v>#DIV/0!</v>
      </c>
      <c r="J5" s="50" t="e">
        <f>D5*'stiffner (2)'!B40</f>
        <v>#DIV/0!</v>
      </c>
      <c r="K5" s="50">
        <v>1</v>
      </c>
      <c r="L5" s="50" t="e">
        <f>I5*SQRT(J5/D5/K5)</f>
        <v>#DIV/0!</v>
      </c>
      <c r="M5" s="50" t="e">
        <f>MIN(IF(L5&gt;0.673,(L5-0.055*(3+G5))/L5^2+0.18*(I5-L5)/(I5-0.6),1),1)</f>
        <v>#DIV/0!</v>
      </c>
      <c r="N5" s="2" t="e">
        <f>M5*B5</f>
        <v>#DIV/0!</v>
      </c>
      <c r="O5" s="51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workbookViewId="0">
      <selection activeCell="I3" sqref="I3"/>
    </sheetView>
  </sheetViews>
  <sheetFormatPr baseColWidth="10" defaultRowHeight="15" x14ac:dyDescent="0"/>
  <cols>
    <col min="9" max="9" width="14.6640625" bestFit="1" customWidth="1"/>
  </cols>
  <sheetData>
    <row r="2" spans="2:11" ht="17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5"/>
      <c r="H2" s="5"/>
      <c r="I2" s="5"/>
      <c r="K2" s="47" t="s">
        <v>41</v>
      </c>
    </row>
    <row r="3" spans="2:11">
      <c r="B3" s="2">
        <f>stiffner!B3</f>
        <v>0</v>
      </c>
      <c r="C3" s="2">
        <f>stiffner!C3</f>
        <v>0</v>
      </c>
      <c r="D3" s="2">
        <f>stiffner!D3</f>
        <v>0</v>
      </c>
      <c r="E3" s="2">
        <f>stiffner!E3</f>
        <v>0</v>
      </c>
      <c r="F3" s="49">
        <f>data!P6</f>
        <v>0</v>
      </c>
      <c r="G3" s="5"/>
      <c r="H3" s="5"/>
      <c r="I3" s="5"/>
      <c r="K3" s="50" t="e">
        <f>F3*((data!L6-stiffner!G15-moment!H27)/moment!H27)</f>
        <v>#DIV/0!</v>
      </c>
    </row>
    <row r="4" spans="2:11">
      <c r="B4" s="5"/>
      <c r="C4" s="5"/>
      <c r="D4" s="5"/>
      <c r="E4" s="5"/>
      <c r="F4" s="5"/>
      <c r="G4" s="5"/>
      <c r="H4" s="5"/>
      <c r="I4" s="5"/>
    </row>
    <row r="5" spans="2:11" ht="17">
      <c r="B5" s="21" t="s">
        <v>48</v>
      </c>
      <c r="C5" s="21" t="s">
        <v>49</v>
      </c>
      <c r="D5" s="21" t="s">
        <v>29</v>
      </c>
      <c r="E5" s="21" t="s">
        <v>30</v>
      </c>
      <c r="F5" s="21" t="s">
        <v>31</v>
      </c>
      <c r="G5" s="21" t="s">
        <v>32</v>
      </c>
      <c r="H5" s="21" t="s">
        <v>33</v>
      </c>
      <c r="I5" s="21" t="s">
        <v>34</v>
      </c>
    </row>
    <row r="6" spans="2:11">
      <c r="B6" s="21" t="s">
        <v>50</v>
      </c>
      <c r="C6" s="31">
        <f>stiffner!C6</f>
        <v>0</v>
      </c>
      <c r="D6" s="28">
        <f>C6*$D$3</f>
        <v>0</v>
      </c>
      <c r="E6" s="31">
        <f>stiffner!E6</f>
        <v>0</v>
      </c>
      <c r="F6" s="28">
        <f>D6*E6</f>
        <v>0</v>
      </c>
      <c r="G6" s="52" t="e">
        <f>$G$15-E6</f>
        <v>#DIV/0!</v>
      </c>
      <c r="H6" s="31">
        <f>stiffner!H6</f>
        <v>0</v>
      </c>
      <c r="I6" s="31" t="e">
        <f>stiffner!I6</f>
        <v>#DIV/0!</v>
      </c>
    </row>
    <row r="7" spans="2:11">
      <c r="B7" s="65">
        <v>2</v>
      </c>
      <c r="C7" s="76">
        <f>stiffner!C7</f>
        <v>0</v>
      </c>
      <c r="D7" s="66">
        <f t="shared" ref="D7:D14" si="0">C7*$D$3</f>
        <v>0</v>
      </c>
      <c r="E7" s="76" t="e">
        <f>stiffner!E7</f>
        <v>#DIV/0!</v>
      </c>
      <c r="F7" s="66" t="e">
        <f t="shared" ref="F7:F14" si="1">D7*E7</f>
        <v>#DIV/0!</v>
      </c>
      <c r="G7" s="67" t="e">
        <f t="shared" ref="G7:G14" si="2">$G$15-E7</f>
        <v>#DIV/0!</v>
      </c>
      <c r="H7" s="76">
        <f>stiffner!H7</f>
        <v>0</v>
      </c>
      <c r="I7" s="76" t="e">
        <f>stiffner!I7</f>
        <v>#DIV/0!</v>
      </c>
    </row>
    <row r="8" spans="2:11">
      <c r="B8" s="22">
        <v>3</v>
      </c>
      <c r="C8" s="31">
        <f>stiffner!C8</f>
        <v>0</v>
      </c>
      <c r="D8" s="69">
        <f t="shared" si="0"/>
        <v>0</v>
      </c>
      <c r="E8" s="54">
        <f>data!O6/2</f>
        <v>0</v>
      </c>
      <c r="F8" s="69">
        <f t="shared" si="1"/>
        <v>0</v>
      </c>
      <c r="G8" s="70" t="e">
        <f t="shared" si="2"/>
        <v>#DIV/0!</v>
      </c>
      <c r="H8" s="31">
        <f>stiffner!H8</f>
        <v>0</v>
      </c>
      <c r="I8" s="31" t="e">
        <f>stiffner!I8</f>
        <v>#DIV/0!</v>
      </c>
    </row>
    <row r="9" spans="2:11">
      <c r="B9" s="65">
        <v>4</v>
      </c>
      <c r="C9" s="76">
        <f>stiffner!C9</f>
        <v>0</v>
      </c>
      <c r="D9" s="66">
        <f t="shared" si="0"/>
        <v>0</v>
      </c>
      <c r="E9" s="76" t="e">
        <f>stiffner!E9</f>
        <v>#DIV/0!</v>
      </c>
      <c r="F9" s="66" t="e">
        <f t="shared" si="1"/>
        <v>#DIV/0!</v>
      </c>
      <c r="G9" s="67" t="e">
        <f t="shared" si="2"/>
        <v>#DIV/0!</v>
      </c>
      <c r="H9" s="76">
        <f>stiffner!H9</f>
        <v>0</v>
      </c>
      <c r="I9" s="76" t="e">
        <f>stiffner!I9</f>
        <v>#DIV/0!</v>
      </c>
    </row>
    <row r="10" spans="2:11">
      <c r="B10" s="21">
        <v>5</v>
      </c>
      <c r="C10" s="31">
        <f>stiffner!C10</f>
        <v>0</v>
      </c>
      <c r="D10" s="28">
        <f t="shared" si="0"/>
        <v>0</v>
      </c>
      <c r="E10" s="54">
        <f>data!O6</f>
        <v>0</v>
      </c>
      <c r="F10" s="28">
        <f t="shared" si="1"/>
        <v>0</v>
      </c>
      <c r="G10" s="52" t="e">
        <f t="shared" si="2"/>
        <v>#DIV/0!</v>
      </c>
      <c r="H10" s="31">
        <f>stiffner!H10</f>
        <v>0</v>
      </c>
      <c r="I10" s="31" t="e">
        <f>stiffner!I10</f>
        <v>#DIV/0!</v>
      </c>
    </row>
    <row r="11" spans="2:11">
      <c r="B11" s="65">
        <v>6</v>
      </c>
      <c r="C11" s="76">
        <f>stiffner!C11</f>
        <v>0</v>
      </c>
      <c r="D11" s="66">
        <f t="shared" si="0"/>
        <v>0</v>
      </c>
      <c r="E11" s="76" t="e">
        <f>stiffner!E11</f>
        <v>#DIV/0!</v>
      </c>
      <c r="F11" s="66" t="e">
        <f t="shared" si="1"/>
        <v>#DIV/0!</v>
      </c>
      <c r="G11" s="67" t="e">
        <f t="shared" si="2"/>
        <v>#DIV/0!</v>
      </c>
      <c r="H11" s="76">
        <f>stiffner!H11</f>
        <v>0</v>
      </c>
      <c r="I11" s="76" t="e">
        <f>stiffner!I11</f>
        <v>#DIV/0!</v>
      </c>
    </row>
    <row r="12" spans="2:11">
      <c r="B12" s="21">
        <v>7</v>
      </c>
      <c r="C12" s="31">
        <f>stiffner!C12</f>
        <v>0</v>
      </c>
      <c r="D12" s="28">
        <f t="shared" si="0"/>
        <v>0</v>
      </c>
      <c r="E12" s="31">
        <f>stiffner!E12</f>
        <v>0</v>
      </c>
      <c r="F12" s="28">
        <f t="shared" si="1"/>
        <v>0</v>
      </c>
      <c r="G12" s="52" t="e">
        <f t="shared" si="2"/>
        <v>#DIV/0!</v>
      </c>
      <c r="H12" s="31">
        <f>stiffner!H12</f>
        <v>0</v>
      </c>
      <c r="I12" s="31" t="e">
        <f>stiffner!I12</f>
        <v>#DIV/0!</v>
      </c>
    </row>
    <row r="13" spans="2:11">
      <c r="B13" s="65">
        <v>8</v>
      </c>
      <c r="C13" s="76">
        <f>stiffner!C13</f>
        <v>0</v>
      </c>
      <c r="D13" s="66">
        <f t="shared" si="0"/>
        <v>0</v>
      </c>
      <c r="E13" s="76" t="e">
        <f>stiffner!E13</f>
        <v>#DIV/0!</v>
      </c>
      <c r="F13" s="66" t="e">
        <f t="shared" si="1"/>
        <v>#DIV/0!</v>
      </c>
      <c r="G13" s="67" t="e">
        <f t="shared" si="2"/>
        <v>#DIV/0!</v>
      </c>
      <c r="H13" s="76">
        <f>stiffner!H13</f>
        <v>0</v>
      </c>
      <c r="I13" s="76" t="e">
        <f>stiffner!I13</f>
        <v>#DIV/0!</v>
      </c>
    </row>
    <row r="14" spans="2:11">
      <c r="B14" s="21" t="s">
        <v>51</v>
      </c>
      <c r="C14" s="31">
        <f>stiffner!C14</f>
        <v>0</v>
      </c>
      <c r="D14" s="28">
        <f t="shared" si="0"/>
        <v>0</v>
      </c>
      <c r="E14" s="31">
        <f>stiffner!E14</f>
        <v>0</v>
      </c>
      <c r="F14" s="28">
        <f t="shared" si="1"/>
        <v>0</v>
      </c>
      <c r="G14" s="52" t="e">
        <f t="shared" si="2"/>
        <v>#DIV/0!</v>
      </c>
      <c r="H14" s="31">
        <f>stiffner!H14</f>
        <v>0</v>
      </c>
      <c r="I14" s="31" t="e">
        <f>stiffner!I14</f>
        <v>#DIV/0!</v>
      </c>
    </row>
    <row r="15" spans="2:11">
      <c r="B15" s="56" t="s">
        <v>52</v>
      </c>
      <c r="C15" s="55"/>
      <c r="D15" s="57">
        <f>SUM(D6:D14)</f>
        <v>0</v>
      </c>
      <c r="E15" s="58"/>
      <c r="F15" s="28" t="e">
        <f>SUM(F6:F14)</f>
        <v>#DIV/0!</v>
      </c>
      <c r="G15" s="58" t="e">
        <f>F15/D15</f>
        <v>#DIV/0!</v>
      </c>
      <c r="H15" s="58"/>
      <c r="I15" s="71" t="e">
        <f>SUM(I6:I14)</f>
        <v>#DIV/0!</v>
      </c>
    </row>
    <row r="16" spans="2:11">
      <c r="B16" s="59"/>
      <c r="C16" s="59"/>
      <c r="D16" s="59"/>
      <c r="E16" s="59"/>
      <c r="F16" s="59"/>
      <c r="G16" s="59"/>
      <c r="H16" s="60"/>
      <c r="I16" s="60"/>
    </row>
    <row r="17" spans="2:9" ht="17">
      <c r="B17" s="21" t="s">
        <v>48</v>
      </c>
      <c r="C17" s="21" t="s">
        <v>49</v>
      </c>
      <c r="D17" s="21" t="s">
        <v>29</v>
      </c>
      <c r="E17" s="21"/>
      <c r="F17" s="21"/>
      <c r="G17" s="21"/>
      <c r="H17" s="21"/>
      <c r="I17" s="21"/>
    </row>
    <row r="18" spans="2:9">
      <c r="B18" s="21" t="s">
        <v>50</v>
      </c>
      <c r="C18" s="28" t="e">
        <f>'flangebis (2)'!O5-'data 2'!C17</f>
        <v>#DIV/0!</v>
      </c>
      <c r="D18" s="28" t="e">
        <f>C18*$D$3</f>
        <v>#DIV/0!</v>
      </c>
      <c r="E18" s="28"/>
      <c r="F18" s="28"/>
      <c r="G18" s="52"/>
      <c r="H18" s="52"/>
      <c r="I18" s="26"/>
    </row>
    <row r="19" spans="2:9">
      <c r="B19" s="21">
        <v>2</v>
      </c>
      <c r="C19" s="28">
        <f>C7</f>
        <v>0</v>
      </c>
      <c r="D19" s="28">
        <f t="shared" ref="D19:D26" si="3">C19*$D$3</f>
        <v>0</v>
      </c>
      <c r="E19" s="28"/>
      <c r="F19" s="28"/>
      <c r="G19" s="52"/>
      <c r="H19" s="52"/>
      <c r="I19" s="53"/>
    </row>
    <row r="20" spans="2:9">
      <c r="B20" s="21">
        <v>3</v>
      </c>
      <c r="C20" s="28">
        <f t="shared" ref="C20:C25" si="4">C8</f>
        <v>0</v>
      </c>
      <c r="D20" s="28">
        <f t="shared" si="3"/>
        <v>0</v>
      </c>
      <c r="E20" s="54"/>
      <c r="F20" s="28"/>
      <c r="G20" s="52"/>
      <c r="H20" s="52"/>
      <c r="I20" s="2"/>
    </row>
    <row r="21" spans="2:9">
      <c r="B21" s="21">
        <v>4</v>
      </c>
      <c r="C21" s="28">
        <f t="shared" si="4"/>
        <v>0</v>
      </c>
      <c r="D21" s="28">
        <f t="shared" si="3"/>
        <v>0</v>
      </c>
      <c r="E21" s="55"/>
      <c r="F21" s="28"/>
      <c r="G21" s="52"/>
      <c r="H21" s="52"/>
      <c r="I21" s="53"/>
    </row>
    <row r="22" spans="2:9">
      <c r="B22" s="21">
        <v>5</v>
      </c>
      <c r="C22" s="28">
        <f t="shared" si="4"/>
        <v>0</v>
      </c>
      <c r="D22" s="28">
        <f t="shared" si="3"/>
        <v>0</v>
      </c>
      <c r="E22" s="54"/>
      <c r="F22" s="28"/>
      <c r="G22" s="52"/>
      <c r="H22" s="52"/>
      <c r="I22" s="2"/>
    </row>
    <row r="23" spans="2:9">
      <c r="B23" s="21">
        <v>6</v>
      </c>
      <c r="C23" s="28">
        <f t="shared" si="4"/>
        <v>0</v>
      </c>
      <c r="D23" s="28">
        <f t="shared" si="3"/>
        <v>0</v>
      </c>
      <c r="E23" s="55"/>
      <c r="F23" s="28"/>
      <c r="G23" s="52"/>
      <c r="H23" s="52"/>
      <c r="I23" s="53"/>
    </row>
    <row r="24" spans="2:9">
      <c r="B24" s="21">
        <v>7</v>
      </c>
      <c r="C24" s="28">
        <f t="shared" si="4"/>
        <v>0</v>
      </c>
      <c r="D24" s="28">
        <f>C24*$D$3</f>
        <v>0</v>
      </c>
      <c r="E24" s="55"/>
      <c r="F24" s="28"/>
      <c r="G24" s="52"/>
      <c r="H24" s="52"/>
      <c r="I24" s="53"/>
    </row>
    <row r="25" spans="2:9">
      <c r="B25" s="21">
        <v>8</v>
      </c>
      <c r="C25" s="28">
        <f t="shared" si="4"/>
        <v>0</v>
      </c>
      <c r="D25" s="28">
        <f t="shared" si="3"/>
        <v>0</v>
      </c>
      <c r="E25" s="55"/>
      <c r="F25" s="28"/>
      <c r="G25" s="52"/>
      <c r="H25" s="52"/>
      <c r="I25" s="53"/>
    </row>
    <row r="26" spans="2:9">
      <c r="B26" s="21" t="s">
        <v>51</v>
      </c>
      <c r="C26" s="28" t="e">
        <f>C18</f>
        <v>#DIV/0!</v>
      </c>
      <c r="D26" s="28" t="e">
        <f t="shared" si="3"/>
        <v>#DIV/0!</v>
      </c>
      <c r="E26" s="28"/>
      <c r="F26" s="28"/>
      <c r="G26" s="52"/>
      <c r="H26" s="52"/>
      <c r="I26" s="61"/>
    </row>
    <row r="27" spans="2:9">
      <c r="B27" s="56" t="s">
        <v>52</v>
      </c>
      <c r="C27" s="55"/>
      <c r="D27" s="57" t="e">
        <f>SUM(D18:D26)</f>
        <v>#DIV/0!</v>
      </c>
      <c r="E27" s="58"/>
      <c r="F27" s="28"/>
      <c r="G27" s="58"/>
      <c r="H27" s="58"/>
      <c r="I27" s="2"/>
    </row>
    <row r="28" spans="2:9">
      <c r="B28" s="59"/>
      <c r="C28" s="59"/>
      <c r="D28" s="59"/>
      <c r="E28" s="59"/>
      <c r="F28" s="59"/>
      <c r="G28" s="59"/>
      <c r="H28" s="60"/>
      <c r="I28" s="60"/>
    </row>
    <row r="29" spans="2:9">
      <c r="B29" s="59"/>
      <c r="C29" s="59"/>
      <c r="D29" s="59"/>
      <c r="E29" s="59"/>
      <c r="F29" s="59"/>
      <c r="G29" s="59"/>
      <c r="H29" s="60"/>
      <c r="I29" s="60"/>
    </row>
    <row r="30" spans="2:9" ht="17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>
      <c r="B31" s="2">
        <f>2*C3+B3</f>
        <v>0</v>
      </c>
      <c r="C31" s="2"/>
      <c r="D31" s="2">
        <f>'data 2'!K3</f>
        <v>0</v>
      </c>
      <c r="E31" s="2" t="e">
        <f>'data 2'!N3</f>
        <v>#DIV/0!</v>
      </c>
      <c r="F31" s="2" t="e">
        <f>3.07*(I15*C3^2*(2*C3+3*B3)/D3^3)^0.25</f>
        <v>#DIV/0!</v>
      </c>
      <c r="G31" s="2" t="e">
        <f>F31/E31</f>
        <v>#DIV/0!</v>
      </c>
      <c r="H31" s="2" t="e">
        <f>((E31+2*B31)/(E31+0.5*B31))^0.5</f>
        <v>#DIV/0!</v>
      </c>
      <c r="I31" s="62" t="e">
        <f>IF(G31&gt;2,H31,(H31-(H31-1)*(2*F31/E31-(F31/E31)^2)))</f>
        <v>#DIV/0!</v>
      </c>
    </row>
    <row r="32" spans="2:9">
      <c r="B32" s="5"/>
      <c r="C32" s="5"/>
      <c r="D32" s="5"/>
      <c r="E32" s="5"/>
      <c r="F32" s="5"/>
      <c r="G32" s="5"/>
      <c r="H32" s="5"/>
      <c r="I32" s="5"/>
    </row>
    <row r="33" spans="2:9" ht="17">
      <c r="B33" s="1" t="s">
        <v>60</v>
      </c>
      <c r="C33" s="5"/>
      <c r="D33" s="5"/>
      <c r="E33" s="5"/>
      <c r="F33" s="5"/>
      <c r="G33" s="5"/>
      <c r="H33" s="5"/>
      <c r="I33" s="5"/>
    </row>
    <row r="34" spans="2:9">
      <c r="B34" s="2" t="e">
        <f>4.2*I31*E3/D27*(I15*D3^3/4/C3^2/(2*C3+3*B3))^0.5</f>
        <v>#DIV/0!</v>
      </c>
      <c r="C34" s="5"/>
      <c r="D34" s="5"/>
      <c r="E34" s="5"/>
      <c r="F34" s="5"/>
      <c r="G34" s="5"/>
      <c r="H34" s="5"/>
      <c r="I34" s="5"/>
    </row>
    <row r="36" spans="2:9" ht="17">
      <c r="B36" s="1" t="s">
        <v>2</v>
      </c>
      <c r="C36" s="1" t="s">
        <v>61</v>
      </c>
      <c r="D36" s="1" t="s">
        <v>62</v>
      </c>
      <c r="E36" s="1" t="s">
        <v>63</v>
      </c>
    </row>
    <row r="37" spans="2:9">
      <c r="B37" s="53">
        <f>'data 2'!L3</f>
        <v>0</v>
      </c>
      <c r="C37" s="50" t="e">
        <f>(B37/B34)^0.5</f>
        <v>#DIV/0!</v>
      </c>
      <c r="D37" s="75" t="e">
        <f>IF(C37&lt;0.65,1,(1.47-0.723*C37))</f>
        <v>#DIV/0!</v>
      </c>
      <c r="E37" s="75" t="e">
        <f>IF(C37&gt;1.38,0.66/C37,D37)</f>
        <v>#DIV/0!</v>
      </c>
    </row>
    <row r="39" spans="2:9" ht="17">
      <c r="B39" s="2" t="s">
        <v>64</v>
      </c>
      <c r="C39" s="21" t="s">
        <v>65</v>
      </c>
      <c r="E39" t="s">
        <v>66</v>
      </c>
    </row>
    <row r="40" spans="2:9">
      <c r="B40" s="63" t="e">
        <f>E37</f>
        <v>#DIV/0!</v>
      </c>
      <c r="C40" s="28" t="e">
        <f>B40*D3*B37/'flange (2)'!J5/'flange (2)'!K5</f>
        <v>#DIV/0!</v>
      </c>
      <c r="E40" s="23" t="e">
        <f>B37/'flange (2)'!K5/'flange (2)'!J5</f>
        <v>#DIV/0!</v>
      </c>
      <c r="G40" s="64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I3" sqref="I3"/>
    </sheetView>
  </sheetViews>
  <sheetFormatPr baseColWidth="10" defaultRowHeight="15" x14ac:dyDescent="0"/>
  <sheetData>
    <row r="2" spans="2:8" ht="17">
      <c r="B2" s="1" t="s">
        <v>1</v>
      </c>
      <c r="C2" s="1" t="s">
        <v>3</v>
      </c>
      <c r="D2" s="1" t="s">
        <v>2</v>
      </c>
      <c r="E2" s="48" t="s">
        <v>42</v>
      </c>
      <c r="F2" s="47" t="s">
        <v>41</v>
      </c>
      <c r="G2" s="1" t="s">
        <v>68</v>
      </c>
      <c r="H2" s="1" t="s">
        <v>69</v>
      </c>
    </row>
    <row r="3" spans="2:8">
      <c r="B3" s="6" t="e">
        <f>web!B3</f>
        <v>#DIV/0!</v>
      </c>
      <c r="C3" s="6">
        <f>data!Q6</f>
        <v>0</v>
      </c>
      <c r="D3" s="6">
        <f>data!P6</f>
        <v>0</v>
      </c>
      <c r="E3" s="5">
        <f>flange!K5</f>
        <v>1</v>
      </c>
      <c r="F3" s="5" t="e">
        <f>'flange (2)'!J5</f>
        <v>#DIV/0!</v>
      </c>
      <c r="G3" s="6" t="e">
        <f>'data 2'!K3-moment!H27</f>
        <v>#DIV/0!</v>
      </c>
      <c r="H3" s="5" t="e">
        <f>G3/SIN('data 2'!C3)-'data 2'!F16</f>
        <v>#DIV/0!</v>
      </c>
    </row>
    <row r="5" spans="2:8" ht="17">
      <c r="B5" s="1" t="s">
        <v>70</v>
      </c>
      <c r="C5" s="1" t="s">
        <v>71</v>
      </c>
      <c r="D5" s="1" t="s">
        <v>72</v>
      </c>
      <c r="E5" s="1" t="s">
        <v>73</v>
      </c>
      <c r="F5" s="5" t="s">
        <v>74</v>
      </c>
    </row>
    <row r="6" spans="2:8">
      <c r="B6" s="61" t="e">
        <f>0.95*B3*(C3/F3/E3)^0.5</f>
        <v>#DIV/0!</v>
      </c>
      <c r="C6" s="61" t="e">
        <f>B6</f>
        <v>#DIV/0!</v>
      </c>
      <c r="D6" s="2" t="e">
        <f>1.5*C6</f>
        <v>#DIV/0!</v>
      </c>
      <c r="E6" s="6" t="e">
        <f>C6+D6</f>
        <v>#DIV/0!</v>
      </c>
      <c r="F6" s="5"/>
    </row>
    <row r="10" spans="2:8" ht="17">
      <c r="B10" s="1" t="s">
        <v>4</v>
      </c>
      <c r="C10" s="21" t="s">
        <v>49</v>
      </c>
      <c r="D10" s="21" t="s">
        <v>29</v>
      </c>
      <c r="E10" s="21" t="s">
        <v>30</v>
      </c>
      <c r="F10" s="21" t="s">
        <v>31</v>
      </c>
    </row>
    <row r="11" spans="2:8">
      <c r="B11" s="1">
        <v>1</v>
      </c>
      <c r="C11" s="78">
        <f>'data 2'!C28</f>
        <v>0</v>
      </c>
    </row>
    <row r="12" spans="2:8">
      <c r="B12" s="1">
        <v>2</v>
      </c>
      <c r="C12" s="78">
        <f>'data 2'!C29</f>
        <v>0</v>
      </c>
    </row>
    <row r="13" spans="2:8">
      <c r="B13" s="1">
        <v>3</v>
      </c>
      <c r="C13" s="78">
        <f>'data 2'!C30</f>
        <v>0</v>
      </c>
    </row>
    <row r="14" spans="2:8">
      <c r="B14" s="1">
        <v>4</v>
      </c>
      <c r="C14" s="78">
        <f>'data 2'!C31</f>
        <v>0</v>
      </c>
    </row>
    <row r="15" spans="2:8">
      <c r="B15" s="1">
        <v>51</v>
      </c>
      <c r="C15" s="78" t="e">
        <f>'flangebis (2)'!O5-'data 2'!C17</f>
        <v>#DIV/0!</v>
      </c>
    </row>
    <row r="16" spans="2:8">
      <c r="B16" s="1">
        <v>52</v>
      </c>
      <c r="C16" s="78" t="e">
        <f>'flange (2)'!O5-'data 2'!F17</f>
        <v>#DIV/0!</v>
      </c>
    </row>
    <row r="17" spans="2:3">
      <c r="B17" s="1">
        <v>6</v>
      </c>
      <c r="C17" s="78">
        <f>'data 2'!C33</f>
        <v>0</v>
      </c>
    </row>
    <row r="18" spans="2:3">
      <c r="B18" s="1">
        <v>7</v>
      </c>
      <c r="C18" s="78">
        <f>'data 2'!C34</f>
        <v>0</v>
      </c>
    </row>
    <row r="19" spans="2:3">
      <c r="B19" s="77" t="s">
        <v>75</v>
      </c>
      <c r="C19" s="78" t="e">
        <f>IF(-(H3-C6-D6)&gt;0,0,(-(H3-C6-D6)))</f>
        <v>#DIV/0!</v>
      </c>
    </row>
    <row r="20" spans="2:3">
      <c r="B20" s="1">
        <v>8</v>
      </c>
      <c r="C20" s="78">
        <f>'data 2'!C35</f>
        <v>0</v>
      </c>
    </row>
    <row r="21" spans="2:3">
      <c r="B21" s="1">
        <v>9</v>
      </c>
      <c r="C21" s="78">
        <f>'data 2'!C36</f>
        <v>0</v>
      </c>
    </row>
    <row r="22" spans="2:3">
      <c r="B22" s="1">
        <v>10</v>
      </c>
      <c r="C22" s="78">
        <f>'data 2'!C37</f>
        <v>0</v>
      </c>
    </row>
    <row r="23" spans="2:3">
      <c r="B23" s="1">
        <v>11</v>
      </c>
      <c r="C23" s="78">
        <f>'data 2'!C38</f>
        <v>0</v>
      </c>
    </row>
    <row r="24" spans="2:3">
      <c r="B24" s="1">
        <v>12</v>
      </c>
      <c r="C24" s="78">
        <f>'data 2'!C39</f>
        <v>0</v>
      </c>
    </row>
    <row r="25" spans="2:3">
      <c r="B25" s="1">
        <v>13</v>
      </c>
      <c r="C25" s="79">
        <f>'data 2'!C40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zoomScale="125" zoomScaleNormal="125" zoomScalePageLayoutView="125" workbookViewId="0">
      <selection activeCell="I3" sqref="I3"/>
    </sheetView>
  </sheetViews>
  <sheetFormatPr baseColWidth="10" defaultRowHeight="15" x14ac:dyDescent="0"/>
  <sheetData>
    <row r="2" spans="1:10" ht="17">
      <c r="A2" t="s">
        <v>1</v>
      </c>
      <c r="B2" s="1" t="s">
        <v>1</v>
      </c>
      <c r="C2" s="1" t="s">
        <v>3</v>
      </c>
      <c r="D2" s="1" t="s">
        <v>2</v>
      </c>
    </row>
    <row r="3" spans="1:10">
      <c r="A3">
        <f>data!J6</f>
        <v>0</v>
      </c>
      <c r="B3" s="61" t="e">
        <f>moment!B3</f>
        <v>#DIV/0!</v>
      </c>
      <c r="C3" s="2">
        <f>data!Q6</f>
        <v>0</v>
      </c>
      <c r="D3" s="2">
        <f>data!P6</f>
        <v>0</v>
      </c>
    </row>
    <row r="8" spans="1:10" ht="17">
      <c r="B8" s="1" t="s">
        <v>4</v>
      </c>
      <c r="C8" s="21" t="s">
        <v>49</v>
      </c>
      <c r="D8" s="21" t="s">
        <v>76</v>
      </c>
      <c r="E8" s="21" t="s">
        <v>29</v>
      </c>
      <c r="F8" s="21" t="s">
        <v>30</v>
      </c>
      <c r="G8" s="21" t="s">
        <v>31</v>
      </c>
      <c r="H8" s="21" t="s">
        <v>32</v>
      </c>
      <c r="I8" s="22" t="s">
        <v>33</v>
      </c>
      <c r="J8" s="21" t="s">
        <v>34</v>
      </c>
    </row>
    <row r="9" spans="1:10">
      <c r="A9" s="80">
        <v>0</v>
      </c>
      <c r="B9" s="21">
        <v>1</v>
      </c>
      <c r="C9" s="28">
        <f>web!C11</f>
        <v>0</v>
      </c>
      <c r="D9" s="81" t="e">
        <f>'stiffner (2)'!C$40</f>
        <v>#DIV/0!</v>
      </c>
      <c r="E9" s="81" t="e">
        <f>C9*D9</f>
        <v>#DIV/0!</v>
      </c>
      <c r="F9" s="2">
        <f>'data 2'!J28</f>
        <v>0</v>
      </c>
      <c r="G9" s="1" t="e">
        <f>E9*F9</f>
        <v>#DIV/0!</v>
      </c>
      <c r="H9" s="2" t="e">
        <f t="shared" ref="H9:H23" si="0">$H$27-F9</f>
        <v>#DIV/0!</v>
      </c>
      <c r="I9" s="50">
        <f>'data 2'!M28</f>
        <v>0</v>
      </c>
      <c r="J9" s="31" t="e">
        <f>E9*I9^2/12+E9*H9^2</f>
        <v>#DIV/0!</v>
      </c>
    </row>
    <row r="10" spans="1:10">
      <c r="A10" s="80">
        <v>0.80870598857129861</v>
      </c>
      <c r="B10" s="21">
        <v>2</v>
      </c>
      <c r="C10" s="28">
        <f>web!C12</f>
        <v>0</v>
      </c>
      <c r="D10" s="81" t="e">
        <f>'stiffner (2)'!C$40</f>
        <v>#DIV/0!</v>
      </c>
      <c r="E10" s="81" t="e">
        <f>C10*D10</f>
        <v>#DIV/0!</v>
      </c>
      <c r="F10" s="2" t="e">
        <f>'data 2'!J29</f>
        <v>#DIV/0!</v>
      </c>
      <c r="G10" s="1" t="e">
        <f t="shared" ref="G10:G23" si="1">E10*F10</f>
        <v>#DIV/0!</v>
      </c>
      <c r="H10" s="2" t="e">
        <f t="shared" si="0"/>
        <v>#DIV/0!</v>
      </c>
      <c r="I10" s="50"/>
      <c r="J10" s="41" t="e">
        <f>D10*'data 2'!E$3^3*(('data 2'!B$3+SIN('data 2'!B$3)*COS('data 2'!B$3))/2-SIN('data 2'!B$3)^2/'data 2'!B$3)+E10*H10^2</f>
        <v>#DIV/0!</v>
      </c>
    </row>
    <row r="11" spans="1:10">
      <c r="A11" s="80">
        <v>10.497526735775734</v>
      </c>
      <c r="B11" s="21">
        <v>3</v>
      </c>
      <c r="C11" s="28">
        <f>web!C13</f>
        <v>0</v>
      </c>
      <c r="D11" s="81" t="e">
        <f>'stiffner (2)'!C$40</f>
        <v>#DIV/0!</v>
      </c>
      <c r="E11" s="81" t="e">
        <f>C11*D11</f>
        <v>#DIV/0!</v>
      </c>
      <c r="F11" s="2">
        <f>'data 2'!J30</f>
        <v>0</v>
      </c>
      <c r="G11" s="1" t="e">
        <f t="shared" si="1"/>
        <v>#DIV/0!</v>
      </c>
      <c r="H11" s="2" t="e">
        <f t="shared" si="0"/>
        <v>#DIV/0!</v>
      </c>
      <c r="I11" s="50">
        <f>'data 2'!M30</f>
        <v>0</v>
      </c>
      <c r="J11" s="31" t="e">
        <f>E11*I11^2/12+E11*H11^2</f>
        <v>#DIV/0!</v>
      </c>
    </row>
    <row r="12" spans="1:10">
      <c r="A12" s="80">
        <v>0.80870598857129861</v>
      </c>
      <c r="B12" s="21">
        <v>4</v>
      </c>
      <c r="C12" s="28">
        <f>web!C14</f>
        <v>0</v>
      </c>
      <c r="D12" s="81" t="e">
        <f>'stiffner (2)'!C$40</f>
        <v>#DIV/0!</v>
      </c>
      <c r="E12" s="81" t="e">
        <f>C12*D12</f>
        <v>#DIV/0!</v>
      </c>
      <c r="F12" s="2" t="e">
        <f>'data 2'!J31</f>
        <v>#DIV/0!</v>
      </c>
      <c r="G12" s="1" t="e">
        <f t="shared" si="1"/>
        <v>#DIV/0!</v>
      </c>
      <c r="H12" s="2" t="e">
        <f t="shared" si="0"/>
        <v>#DIV/0!</v>
      </c>
      <c r="I12" s="50"/>
      <c r="J12" s="41" t="e">
        <f>D12*'data 2'!E$3^3*(('data 2'!B$3+SIN('data 2'!B$3)*COS('data 2'!B$3))/2-SIN('data 2'!B$3)^2/'data 2'!B$3)+E12*H12^2</f>
        <v>#DIV/0!</v>
      </c>
    </row>
    <row r="13" spans="1:10">
      <c r="B13" s="21">
        <v>51</v>
      </c>
      <c r="C13" s="28" t="e">
        <f>web!C15</f>
        <v>#DIV/0!</v>
      </c>
      <c r="D13" s="81" t="e">
        <f>'stiffner (2)'!C$40</f>
        <v>#DIV/0!</v>
      </c>
      <c r="E13" s="81" t="e">
        <f>C13*D13</f>
        <v>#DIV/0!</v>
      </c>
      <c r="F13" s="2">
        <f>'data 2'!J32</f>
        <v>0</v>
      </c>
      <c r="G13" s="1" t="e">
        <f t="shared" si="1"/>
        <v>#DIV/0!</v>
      </c>
      <c r="H13" s="2" t="e">
        <f t="shared" si="0"/>
        <v>#DIV/0!</v>
      </c>
      <c r="I13" s="50">
        <f>'data 2'!M32</f>
        <v>0</v>
      </c>
      <c r="J13" s="31" t="e">
        <f>E13*I13^2/12+E13*H13^2</f>
        <v>#DIV/0!</v>
      </c>
    </row>
    <row r="14" spans="1:10">
      <c r="B14" s="21">
        <v>52</v>
      </c>
      <c r="C14" s="28" t="e">
        <f>web!C16</f>
        <v>#DIV/0!</v>
      </c>
      <c r="D14" s="50">
        <f>A$3</f>
        <v>0</v>
      </c>
      <c r="E14" s="50" t="e">
        <f t="shared" ref="E14:E22" si="2">C14*D14</f>
        <v>#DIV/0!</v>
      </c>
      <c r="F14" s="2">
        <f>'data 2'!J32</f>
        <v>0</v>
      </c>
      <c r="G14" s="1" t="e">
        <f t="shared" si="1"/>
        <v>#DIV/0!</v>
      </c>
      <c r="H14" s="2" t="e">
        <f t="shared" si="0"/>
        <v>#DIV/0!</v>
      </c>
      <c r="I14" s="50">
        <f>'data 2'!M32</f>
        <v>0</v>
      </c>
      <c r="J14" s="31" t="e">
        <f>E14*I14^2/12+E14*H14^2</f>
        <v>#DIV/0!</v>
      </c>
    </row>
    <row r="15" spans="1:10">
      <c r="B15" s="21">
        <v>6</v>
      </c>
      <c r="C15" s="28">
        <f>web!C17</f>
        <v>0</v>
      </c>
      <c r="D15" s="50">
        <f>A$3</f>
        <v>0</v>
      </c>
      <c r="E15" s="50">
        <f t="shared" si="2"/>
        <v>0</v>
      </c>
      <c r="F15" s="2" t="e">
        <f>'data 2'!J33</f>
        <v>#DIV/0!</v>
      </c>
      <c r="G15" s="1" t="e">
        <f t="shared" si="1"/>
        <v>#DIV/0!</v>
      </c>
      <c r="H15" s="2" t="e">
        <f t="shared" si="0"/>
        <v>#DIV/0!</v>
      </c>
      <c r="I15" s="50"/>
      <c r="J15" s="41" t="e">
        <f>D15*'data 2'!E$3^3*(('data 2'!C$3+SIN('data 2'!C$3)*COS('data 2'!C$3))/2-SIN('data 2'!C$3)^2/'data 2'!C$3)+E15*H15^2</f>
        <v>#DIV/0!</v>
      </c>
    </row>
    <row r="16" spans="1:10">
      <c r="B16" s="21">
        <v>7</v>
      </c>
      <c r="C16" s="28">
        <f>web!C18</f>
        <v>0</v>
      </c>
      <c r="D16" s="109" t="e">
        <f>B$3</f>
        <v>#DIV/0!</v>
      </c>
      <c r="E16" s="50" t="e">
        <f t="shared" si="2"/>
        <v>#DIV/0!</v>
      </c>
      <c r="F16" s="2">
        <f>'data 2'!J34</f>
        <v>0</v>
      </c>
      <c r="G16" s="1" t="e">
        <f t="shared" si="1"/>
        <v>#DIV/0!</v>
      </c>
      <c r="H16" s="2" t="e">
        <f t="shared" si="0"/>
        <v>#DIV/0!</v>
      </c>
      <c r="I16" s="50">
        <f>'data 2'!M34</f>
        <v>0</v>
      </c>
      <c r="J16" s="31" t="e">
        <f>E16*I16^2/12+E16*H16^2</f>
        <v>#DIV/0!</v>
      </c>
    </row>
    <row r="17" spans="2:11">
      <c r="B17" s="29" t="s">
        <v>75</v>
      </c>
      <c r="C17" s="87" t="e">
        <f>'web (2)'!C19</f>
        <v>#DIV/0!</v>
      </c>
      <c r="D17" s="109" t="e">
        <f t="shared" ref="D17:D21" si="3">B$3</f>
        <v>#DIV/0!</v>
      </c>
      <c r="E17" s="50" t="e">
        <f t="shared" si="2"/>
        <v>#DIV/0!</v>
      </c>
      <c r="F17" s="2" t="e">
        <f>moment!H27+('web (2)'!D6-'web (2)'!C19/2)*SIN(data!E6)</f>
        <v>#DIV/0!</v>
      </c>
      <c r="G17" s="1" t="e">
        <f t="shared" si="1"/>
        <v>#DIV/0!</v>
      </c>
      <c r="H17" s="2" t="e">
        <f t="shared" si="0"/>
        <v>#DIV/0!</v>
      </c>
      <c r="I17" s="86" t="e">
        <f>-C17*SIN(data!E6)</f>
        <v>#DIV/0!</v>
      </c>
      <c r="J17" s="31" t="e">
        <f>E17*I17^2/12+E17*H17^2</f>
        <v>#DIV/0!</v>
      </c>
    </row>
    <row r="18" spans="2:11">
      <c r="B18" s="21">
        <v>8</v>
      </c>
      <c r="C18" s="28">
        <f>web!C20</f>
        <v>0</v>
      </c>
      <c r="D18" s="109" t="e">
        <f t="shared" si="3"/>
        <v>#DIV/0!</v>
      </c>
      <c r="E18" s="50" t="e">
        <f t="shared" si="2"/>
        <v>#DIV/0!</v>
      </c>
      <c r="F18" s="2">
        <f>'data 2'!J35</f>
        <v>0</v>
      </c>
      <c r="G18" s="1" t="e">
        <f t="shared" si="1"/>
        <v>#DIV/0!</v>
      </c>
      <c r="H18" s="2" t="e">
        <f t="shared" si="0"/>
        <v>#DIV/0!</v>
      </c>
      <c r="I18" s="50"/>
      <c r="J18" s="41" t="e">
        <f>D18*'data 2'!E$3^3*(('data 2'!C$3+SIN('data 2'!C$3)*COS('data 2'!C$3))/2-SIN('data 2'!C$3)^2/'data 2'!C$3)+E18*H18^2</f>
        <v>#DIV/0!</v>
      </c>
    </row>
    <row r="19" spans="2:11">
      <c r="B19" s="21">
        <v>9</v>
      </c>
      <c r="C19" s="28">
        <f>web!C21</f>
        <v>0</v>
      </c>
      <c r="D19" s="109" t="e">
        <f t="shared" si="3"/>
        <v>#DIV/0!</v>
      </c>
      <c r="E19" s="50" t="e">
        <f t="shared" si="2"/>
        <v>#DIV/0!</v>
      </c>
      <c r="F19" s="2">
        <f>'data 2'!J36</f>
        <v>0</v>
      </c>
      <c r="G19" s="1" t="e">
        <f t="shared" si="1"/>
        <v>#DIV/0!</v>
      </c>
      <c r="H19" s="2" t="e">
        <f t="shared" si="0"/>
        <v>#DIV/0!</v>
      </c>
      <c r="I19" s="50">
        <f>'data 2'!M36</f>
        <v>0</v>
      </c>
      <c r="J19" s="31" t="e">
        <f>E19*I19^2/12+E19*H19^2</f>
        <v>#DIV/0!</v>
      </c>
    </row>
    <row r="20" spans="2:11">
      <c r="B20" s="21">
        <v>10</v>
      </c>
      <c r="C20" s="28">
        <f>web!C22</f>
        <v>0</v>
      </c>
      <c r="D20" s="109" t="e">
        <f t="shared" si="3"/>
        <v>#DIV/0!</v>
      </c>
      <c r="E20" s="50" t="e">
        <f t="shared" si="2"/>
        <v>#DIV/0!</v>
      </c>
      <c r="F20" s="2">
        <f>'data 2'!J37</f>
        <v>0</v>
      </c>
      <c r="G20" s="1" t="e">
        <f t="shared" si="1"/>
        <v>#DIV/0!</v>
      </c>
      <c r="H20" s="2" t="e">
        <f t="shared" si="0"/>
        <v>#DIV/0!</v>
      </c>
      <c r="I20" s="50"/>
      <c r="J20" s="41" t="e">
        <f>D20*'data 2'!E$3^3*(('data 2'!D$3+SIN('data 2'!D$3)*COS('data 2'!D$3))/2-SIN('data 2'!D$3)^2/'data 2'!D$3)+E20*H20^2</f>
        <v>#DIV/0!</v>
      </c>
    </row>
    <row r="21" spans="2:11">
      <c r="B21" s="21">
        <v>11</v>
      </c>
      <c r="C21" s="28">
        <f>web!C23</f>
        <v>0</v>
      </c>
      <c r="D21" s="109" t="e">
        <f t="shared" si="3"/>
        <v>#DIV/0!</v>
      </c>
      <c r="E21" s="50" t="e">
        <f t="shared" si="2"/>
        <v>#DIV/0!</v>
      </c>
      <c r="F21" s="2">
        <f>'data 2'!J38</f>
        <v>0</v>
      </c>
      <c r="G21" s="1" t="e">
        <f>E21*F21</f>
        <v>#DIV/0!</v>
      </c>
      <c r="H21" s="2" t="e">
        <f t="shared" si="0"/>
        <v>#DIV/0!</v>
      </c>
      <c r="I21" s="50">
        <f>'data 2'!M38</f>
        <v>0</v>
      </c>
      <c r="J21" s="31" t="e">
        <f>E21*I21^2/12+E21*H21^2</f>
        <v>#DIV/0!</v>
      </c>
    </row>
    <row r="22" spans="2:11">
      <c r="B22" s="21">
        <v>12</v>
      </c>
      <c r="C22" s="28">
        <f>web!C24</f>
        <v>0</v>
      </c>
      <c r="D22" s="50">
        <f>A$3</f>
        <v>0</v>
      </c>
      <c r="E22" s="50">
        <f t="shared" si="2"/>
        <v>0</v>
      </c>
      <c r="F22" s="2" t="e">
        <f>'data 2'!J39</f>
        <v>#DIV/0!</v>
      </c>
      <c r="G22" s="1" t="e">
        <f t="shared" si="1"/>
        <v>#DIV/0!</v>
      </c>
      <c r="H22" s="2" t="e">
        <f t="shared" si="0"/>
        <v>#DIV/0!</v>
      </c>
      <c r="I22" s="50"/>
      <c r="J22" s="41" t="e">
        <f>D22*'data 2'!E$3^3*(('data 2'!D$3+SIN('data 2'!D$3)*COS('data 2'!D$3))/2-SIN('data 2'!D$3)^2/'data 2'!D$3)+E22*H22^2</f>
        <v>#DIV/0!</v>
      </c>
    </row>
    <row r="23" spans="2:11">
      <c r="B23" s="21">
        <v>13</v>
      </c>
      <c r="C23" s="28">
        <f>web!C25</f>
        <v>0</v>
      </c>
      <c r="D23" s="50">
        <f>A$3</f>
        <v>0</v>
      </c>
      <c r="E23" s="50">
        <f>C23*D23</f>
        <v>0</v>
      </c>
      <c r="F23" s="2">
        <f>'data 2'!J40</f>
        <v>0</v>
      </c>
      <c r="G23" s="1">
        <f t="shared" si="1"/>
        <v>0</v>
      </c>
      <c r="H23" s="2" t="e">
        <f t="shared" si="0"/>
        <v>#DIV/0!</v>
      </c>
      <c r="I23" s="50">
        <f>'data 2'!M40</f>
        <v>0</v>
      </c>
      <c r="J23" s="31" t="e">
        <f>E23*I23^2/12+E23*H23^2</f>
        <v>#DIV/0!</v>
      </c>
    </row>
    <row r="24" spans="2:11">
      <c r="B24" s="21"/>
      <c r="C24" s="1"/>
      <c r="D24" s="1"/>
      <c r="E24" s="2"/>
      <c r="F24" s="1"/>
      <c r="G24" s="2"/>
      <c r="H24" s="2"/>
      <c r="I24" s="1"/>
      <c r="J24" s="26"/>
    </row>
    <row r="27" spans="2:11">
      <c r="B27" s="21" t="s">
        <v>52</v>
      </c>
      <c r="C27" s="5"/>
      <c r="D27" s="5"/>
      <c r="E27" s="2" t="e">
        <f>SUM(E9:E26)</f>
        <v>#DIV/0!</v>
      </c>
      <c r="G27" s="2" t="e">
        <f>SUM(G9:G26)</f>
        <v>#DIV/0!</v>
      </c>
      <c r="H27" s="2" t="e">
        <f>G27/E27</f>
        <v>#DIV/0!</v>
      </c>
      <c r="J27" s="26" t="e">
        <f>SUM(J9:J26)</f>
        <v>#DIV/0!</v>
      </c>
      <c r="K27" s="82" t="s">
        <v>77</v>
      </c>
    </row>
    <row r="28" spans="2:11">
      <c r="E28" s="5" t="e">
        <f>E27*2</f>
        <v>#DIV/0!</v>
      </c>
      <c r="G28" s="5"/>
      <c r="H28" s="6" t="e">
        <f>data!L6-'moment (2)'!H27</f>
        <v>#DIV/0!</v>
      </c>
      <c r="J28" s="5" t="e">
        <f>J27*2</f>
        <v>#DIV/0!</v>
      </c>
      <c r="K28" s="82" t="s">
        <v>78</v>
      </c>
    </row>
    <row r="29" spans="2:11">
      <c r="B29" s="5" t="s">
        <v>80</v>
      </c>
      <c r="C29" s="5" t="e">
        <f>J27/MAX(H27,H28)</f>
        <v>#DIV/0!</v>
      </c>
      <c r="D29" s="5" t="s">
        <v>77</v>
      </c>
      <c r="J29" s="5" t="e">
        <f>J28/data!K6</f>
        <v>#DIV/0!</v>
      </c>
      <c r="K29" s="82" t="s">
        <v>79</v>
      </c>
    </row>
    <row r="30" spans="2:11">
      <c r="B30" s="5" t="s">
        <v>80</v>
      </c>
      <c r="C30" s="5" t="e">
        <f>2*C29</f>
        <v>#DIV/0!</v>
      </c>
      <c r="D30" s="5" t="s">
        <v>78</v>
      </c>
    </row>
    <row r="31" spans="2:11">
      <c r="B31" s="5" t="s">
        <v>80</v>
      </c>
      <c r="C31" s="5" t="e">
        <f>C30/data!K6</f>
        <v>#DIV/0!</v>
      </c>
      <c r="D31" s="5" t="s">
        <v>81</v>
      </c>
    </row>
    <row r="32" spans="2:11">
      <c r="B32" s="5"/>
      <c r="C32" s="5"/>
      <c r="D32" s="5"/>
    </row>
    <row r="33" spans="2:4">
      <c r="B33" s="5" t="s">
        <v>82</v>
      </c>
      <c r="C33" s="5" t="s">
        <v>82</v>
      </c>
      <c r="D33" s="5"/>
    </row>
    <row r="34" spans="2:4">
      <c r="B34" s="83" t="e">
        <f>D3*C31*1</f>
        <v>#DIV/0!</v>
      </c>
      <c r="C34" s="83" t="s">
        <v>83</v>
      </c>
      <c r="D34" s="84"/>
    </row>
    <row r="35" spans="2:4">
      <c r="B35" s="85" t="e">
        <f>B34/1000</f>
        <v>#DIV/0!</v>
      </c>
      <c r="C35" t="s">
        <v>84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I3" sqref="I3"/>
    </sheetView>
  </sheetViews>
  <sheetFormatPr baseColWidth="10" defaultRowHeight="15" x14ac:dyDescent="0"/>
  <cols>
    <col min="2" max="2" width="5" customWidth="1"/>
    <col min="3" max="3" width="5.83203125" customWidth="1"/>
    <col min="6" max="6" width="5.6640625" customWidth="1"/>
    <col min="7" max="7" width="9.1640625" customWidth="1"/>
    <col min="8" max="8" width="7" customWidth="1"/>
    <col min="9" max="9" width="5.33203125" customWidth="1"/>
    <col min="10" max="10" width="7.83203125" customWidth="1"/>
    <col min="11" max="11" width="7.1640625" customWidth="1"/>
    <col min="12" max="12" width="6.6640625" customWidth="1"/>
    <col min="13" max="13" width="6.5" customWidth="1"/>
    <col min="14" max="14" width="8.1640625" customWidth="1"/>
    <col min="15" max="15" width="7.1640625" customWidth="1"/>
  </cols>
  <sheetData>
    <row r="2" spans="2: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7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45" t="s">
        <v>38</v>
      </c>
      <c r="H4" s="46" t="s">
        <v>39</v>
      </c>
      <c r="I4" s="1" t="s">
        <v>40</v>
      </c>
      <c r="J4" s="47" t="s">
        <v>41</v>
      </c>
      <c r="K4" s="48" t="s">
        <v>42</v>
      </c>
      <c r="L4" s="1" t="s">
        <v>43</v>
      </c>
      <c r="M4" s="1" t="s">
        <v>44</v>
      </c>
      <c r="N4" s="3" t="s">
        <v>45</v>
      </c>
      <c r="O4" s="3" t="s">
        <v>46</v>
      </c>
    </row>
    <row r="5" spans="2:15">
      <c r="B5" s="2">
        <f>'data 2'!C8</f>
        <v>0</v>
      </c>
      <c r="C5" s="2">
        <f>flange!C5</f>
        <v>0</v>
      </c>
      <c r="D5" s="49">
        <f>'data 2'!L3</f>
        <v>0</v>
      </c>
      <c r="E5" s="2">
        <f>'data 2'!M3</f>
        <v>0</v>
      </c>
      <c r="F5" s="2">
        <v>4</v>
      </c>
      <c r="G5" s="2">
        <v>1</v>
      </c>
      <c r="H5" s="2" t="e">
        <f>(235/D5)^0.5</f>
        <v>#DIV/0!</v>
      </c>
      <c r="I5" s="50" t="e">
        <f>B5/C5/28.4/H5/(F5)^0.5</f>
        <v>#DIV/0!</v>
      </c>
      <c r="J5" s="50" t="e">
        <f>MIN(D5,D5*('data 2'!K3-'moment (2)'!H27)/'moment (2)'!H27)</f>
        <v>#DIV/0!</v>
      </c>
      <c r="K5" s="50">
        <v>1</v>
      </c>
      <c r="L5" s="50" t="e">
        <f>I5*SQRT(J5/D5/K5)</f>
        <v>#DIV/0!</v>
      </c>
      <c r="M5" s="50" t="e">
        <f>MIN(IF(L5&gt;0.673,(L5-0.055*(3+G5))/L5^2+0.18*(I5-L5)/(I5-0.6),1),1)</f>
        <v>#DIV/0!</v>
      </c>
      <c r="N5" s="2" t="e">
        <f>M5*B5</f>
        <v>#DIV/0!</v>
      </c>
      <c r="O5" s="51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25" workbookViewId="0">
      <selection activeCell="I3" sqref="I3"/>
    </sheetView>
  </sheetViews>
  <sheetFormatPr baseColWidth="10" defaultRowHeight="15" x14ac:dyDescent="0"/>
  <cols>
    <col min="9" max="9" width="14.6640625" bestFit="1" customWidth="1"/>
  </cols>
  <sheetData>
    <row r="2" spans="2:9" ht="17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5"/>
      <c r="H2" s="5"/>
      <c r="I2" s="5"/>
    </row>
    <row r="3" spans="2:9">
      <c r="B3" s="2">
        <f>('data 2'!C28+'data 2'!C29+'data 2'!C30+'data 2'!C31/2)*2</f>
        <v>0</v>
      </c>
      <c r="C3" s="2">
        <f>flange!B5</f>
        <v>0</v>
      </c>
      <c r="D3" s="2">
        <f>flange!C5</f>
        <v>0</v>
      </c>
      <c r="E3" s="2">
        <f>'data 2'!M3</f>
        <v>0</v>
      </c>
      <c r="F3" s="49">
        <f>data!P6</f>
        <v>0</v>
      </c>
      <c r="G3" s="5"/>
      <c r="H3" s="5"/>
      <c r="I3" s="5"/>
    </row>
    <row r="4" spans="2:9">
      <c r="B4" s="5"/>
      <c r="C4" s="5"/>
      <c r="D4" s="5"/>
      <c r="E4" s="5"/>
      <c r="F4" s="5"/>
      <c r="G4" s="5"/>
      <c r="H4" s="5"/>
      <c r="I4" s="5"/>
    </row>
    <row r="5" spans="2:9" ht="17">
      <c r="B5" s="21" t="s">
        <v>48</v>
      </c>
      <c r="C5" s="21" t="s">
        <v>49</v>
      </c>
      <c r="D5" s="21" t="s">
        <v>29</v>
      </c>
      <c r="E5" s="21" t="s">
        <v>30</v>
      </c>
      <c r="F5" s="21" t="s">
        <v>31</v>
      </c>
      <c r="G5" s="21" t="s">
        <v>32</v>
      </c>
      <c r="H5" s="21" t="s">
        <v>33</v>
      </c>
      <c r="I5" s="21" t="s">
        <v>34</v>
      </c>
    </row>
    <row r="6" spans="2:9">
      <c r="B6" s="21" t="s">
        <v>50</v>
      </c>
      <c r="C6" s="28">
        <f>15*D$3-'data 2'!C17</f>
        <v>0</v>
      </c>
      <c r="D6" s="28">
        <f>C6*$D$3</f>
        <v>0</v>
      </c>
      <c r="E6" s="28">
        <v>0</v>
      </c>
      <c r="F6" s="28">
        <f>D6*E6</f>
        <v>0</v>
      </c>
      <c r="G6" s="52" t="e">
        <f>$G$15-E6</f>
        <v>#DIV/0!</v>
      </c>
      <c r="H6" s="52">
        <f>D3</f>
        <v>0</v>
      </c>
      <c r="I6" s="71" t="e">
        <f>D6*H6^2/12+D6*G6^2</f>
        <v>#DIV/0!</v>
      </c>
    </row>
    <row r="7" spans="2:9">
      <c r="B7" s="65">
        <v>2</v>
      </c>
      <c r="C7" s="66">
        <f>'data 2'!C31</f>
        <v>0</v>
      </c>
      <c r="D7" s="66">
        <f t="shared" ref="D7:D14" si="0">C7*$D$3</f>
        <v>0</v>
      </c>
      <c r="E7" s="66" t="e">
        <f>'data 2'!C25</f>
        <v>#DIV/0!</v>
      </c>
      <c r="F7" s="66" t="e">
        <f t="shared" ref="F7:F14" si="1">D7*E7</f>
        <v>#DIV/0!</v>
      </c>
      <c r="G7" s="67" t="e">
        <f t="shared" ref="G7:G14" si="2">$G$15-E7</f>
        <v>#DIV/0!</v>
      </c>
      <c r="H7" s="67"/>
      <c r="I7" s="72" t="e">
        <f>$D$3*'data 2'!E$3^3*(('data 2'!B$3+SIN('data 2'!B$3)*COS('data 2'!B$3))/2-SIN('data 2'!B$3)^2/'data 2'!B$3)+D7*G7^2</f>
        <v>#DIV/0!</v>
      </c>
    </row>
    <row r="8" spans="2:9">
      <c r="B8" s="22">
        <v>3</v>
      </c>
      <c r="C8" s="69">
        <f>'data 2'!C30</f>
        <v>0</v>
      </c>
      <c r="D8" s="69">
        <f t="shared" si="0"/>
        <v>0</v>
      </c>
      <c r="E8" s="54">
        <f>data!O6/2</f>
        <v>0</v>
      </c>
      <c r="F8" s="69">
        <f t="shared" si="1"/>
        <v>0</v>
      </c>
      <c r="G8" s="70" t="e">
        <f t="shared" si="2"/>
        <v>#DIV/0!</v>
      </c>
      <c r="H8" s="70">
        <f>'data 2'!M30</f>
        <v>0</v>
      </c>
      <c r="I8" s="73" t="e">
        <f>D8*H8^2/12+D8*G8^2</f>
        <v>#DIV/0!</v>
      </c>
    </row>
    <row r="9" spans="2:9">
      <c r="B9" s="65">
        <v>4</v>
      </c>
      <c r="C9" s="66">
        <f>'data 2'!C29</f>
        <v>0</v>
      </c>
      <c r="D9" s="66">
        <f t="shared" si="0"/>
        <v>0</v>
      </c>
      <c r="E9" s="68" t="e">
        <f>data!O6-'data 2'!C25</f>
        <v>#DIV/0!</v>
      </c>
      <c r="F9" s="66" t="e">
        <f t="shared" si="1"/>
        <v>#DIV/0!</v>
      </c>
      <c r="G9" s="67" t="e">
        <f t="shared" si="2"/>
        <v>#DIV/0!</v>
      </c>
      <c r="H9" s="67"/>
      <c r="I9" s="72" t="e">
        <f>$D$3*'data 2'!E$3^3*(('data 2'!B$3+SIN('data 2'!B$3)*COS('data 2'!B$3))/2-SIN('data 2'!B$3)^2/'data 2'!B$3)+D9*G9^2</f>
        <v>#DIV/0!</v>
      </c>
    </row>
    <row r="10" spans="2:9">
      <c r="B10" s="21">
        <v>5</v>
      </c>
      <c r="C10" s="28">
        <f>'data 2'!C28*2</f>
        <v>0</v>
      </c>
      <c r="D10" s="28">
        <f t="shared" si="0"/>
        <v>0</v>
      </c>
      <c r="E10" s="54">
        <f>data!O6</f>
        <v>0</v>
      </c>
      <c r="F10" s="28">
        <f t="shared" si="1"/>
        <v>0</v>
      </c>
      <c r="G10" s="52" t="e">
        <f t="shared" si="2"/>
        <v>#DIV/0!</v>
      </c>
      <c r="H10" s="52">
        <f>D3</f>
        <v>0</v>
      </c>
      <c r="I10" s="71" t="e">
        <f>D10*H10^2/12+D10*G10^2</f>
        <v>#DIV/0!</v>
      </c>
    </row>
    <row r="11" spans="2:9">
      <c r="B11" s="65">
        <v>6</v>
      </c>
      <c r="C11" s="66">
        <f>'data 2'!C29</f>
        <v>0</v>
      </c>
      <c r="D11" s="66">
        <f t="shared" si="0"/>
        <v>0</v>
      </c>
      <c r="E11" s="68" t="e">
        <f>E9</f>
        <v>#DIV/0!</v>
      </c>
      <c r="F11" s="66" t="e">
        <f t="shared" si="1"/>
        <v>#DIV/0!</v>
      </c>
      <c r="G11" s="67" t="e">
        <f t="shared" si="2"/>
        <v>#DIV/0!</v>
      </c>
      <c r="H11" s="67"/>
      <c r="I11" s="72" t="e">
        <f>I9</f>
        <v>#DIV/0!</v>
      </c>
    </row>
    <row r="12" spans="2:9">
      <c r="B12" s="21">
        <v>7</v>
      </c>
      <c r="C12" s="69">
        <f>'data 2'!C30</f>
        <v>0</v>
      </c>
      <c r="D12" s="28">
        <f t="shared" si="0"/>
        <v>0</v>
      </c>
      <c r="E12" s="55">
        <f>E8</f>
        <v>0</v>
      </c>
      <c r="F12" s="28">
        <f t="shared" si="1"/>
        <v>0</v>
      </c>
      <c r="G12" s="52" t="e">
        <f t="shared" si="2"/>
        <v>#DIV/0!</v>
      </c>
      <c r="H12" s="52">
        <f>H8</f>
        <v>0</v>
      </c>
      <c r="I12" s="71" t="e">
        <f>D12*H12^2/12+D12*G12^2</f>
        <v>#DIV/0!</v>
      </c>
    </row>
    <row r="13" spans="2:9">
      <c r="B13" s="65">
        <v>8</v>
      </c>
      <c r="C13" s="66">
        <f>'data 2'!C31</f>
        <v>0</v>
      </c>
      <c r="D13" s="66">
        <f t="shared" si="0"/>
        <v>0</v>
      </c>
      <c r="E13" s="68" t="e">
        <f>E7</f>
        <v>#DIV/0!</v>
      </c>
      <c r="F13" s="66" t="e">
        <f t="shared" si="1"/>
        <v>#DIV/0!</v>
      </c>
      <c r="G13" s="67" t="e">
        <f t="shared" si="2"/>
        <v>#DIV/0!</v>
      </c>
      <c r="H13" s="67"/>
      <c r="I13" s="72" t="e">
        <f>$D$3*'data 2'!E$3^3*(('data 2'!B$3+SIN('data 2'!B$3)*COS('data 2'!B$3))/2-SIN('data 2'!B$3)^2/'data 2'!B$3)+D13*G13^2</f>
        <v>#DIV/0!</v>
      </c>
    </row>
    <row r="14" spans="2:9">
      <c r="B14" s="21" t="s">
        <v>51</v>
      </c>
      <c r="C14" s="28">
        <f>C6</f>
        <v>0</v>
      </c>
      <c r="D14" s="28">
        <f t="shared" si="0"/>
        <v>0</v>
      </c>
      <c r="E14" s="28">
        <f>E6</f>
        <v>0</v>
      </c>
      <c r="F14" s="28">
        <f t="shared" si="1"/>
        <v>0</v>
      </c>
      <c r="G14" s="52" t="e">
        <f t="shared" si="2"/>
        <v>#DIV/0!</v>
      </c>
      <c r="H14" s="52">
        <f>H6</f>
        <v>0</v>
      </c>
      <c r="I14" s="71" t="e">
        <f>D14*H14^2/12+D14*G14^2</f>
        <v>#DIV/0!</v>
      </c>
    </row>
    <row r="15" spans="2:9">
      <c r="B15" s="56" t="s">
        <v>52</v>
      </c>
      <c r="C15" s="55"/>
      <c r="D15" s="57">
        <f>SUM(D6:D14)</f>
        <v>0</v>
      </c>
      <c r="E15" s="58"/>
      <c r="F15" s="28" t="e">
        <f>SUM(F6:F14)</f>
        <v>#DIV/0!</v>
      </c>
      <c r="G15" s="58" t="e">
        <f>F15/D15</f>
        <v>#DIV/0!</v>
      </c>
      <c r="H15" s="58"/>
      <c r="I15" s="71" t="e">
        <f>SUM(I6:I14)</f>
        <v>#DIV/0!</v>
      </c>
    </row>
    <row r="16" spans="2:9">
      <c r="B16" s="59"/>
      <c r="C16" s="59"/>
      <c r="D16" s="59"/>
      <c r="E16" s="59"/>
      <c r="F16" s="59"/>
      <c r="G16" s="59"/>
      <c r="H16" s="60"/>
      <c r="I16" s="60"/>
    </row>
    <row r="17" spans="2:9" ht="17">
      <c r="B17" s="21" t="s">
        <v>48</v>
      </c>
      <c r="C17" s="21" t="s">
        <v>49</v>
      </c>
      <c r="D17" s="21" t="s">
        <v>29</v>
      </c>
      <c r="E17" s="21"/>
      <c r="F17" s="21"/>
      <c r="G17" s="21"/>
      <c r="H17" s="21"/>
      <c r="I17" s="21"/>
    </row>
    <row r="18" spans="2:9">
      <c r="B18" s="21" t="s">
        <v>50</v>
      </c>
      <c r="C18" s="87" t="e">
        <f>'flange (3)'!O5-'data 2'!C17</f>
        <v>#DIV/0!</v>
      </c>
      <c r="D18" s="28" t="e">
        <f>C18*$D$3</f>
        <v>#DIV/0!</v>
      </c>
      <c r="E18" s="28"/>
      <c r="F18" s="28"/>
      <c r="G18" s="52"/>
      <c r="H18" s="52"/>
      <c r="I18" s="26"/>
    </row>
    <row r="19" spans="2:9">
      <c r="B19" s="21">
        <v>2</v>
      </c>
      <c r="C19" s="28">
        <f>C7</f>
        <v>0</v>
      </c>
      <c r="D19" s="28">
        <f t="shared" ref="D19:D26" si="3">C19*$D$3</f>
        <v>0</v>
      </c>
      <c r="E19" s="28"/>
      <c r="F19" s="28"/>
      <c r="G19" s="52"/>
      <c r="H19" s="52"/>
      <c r="I19" s="53"/>
    </row>
    <row r="20" spans="2:9">
      <c r="B20" s="21">
        <v>3</v>
      </c>
      <c r="C20" s="28">
        <f t="shared" ref="C20:C25" si="4">C8</f>
        <v>0</v>
      </c>
      <c r="D20" s="28">
        <f t="shared" si="3"/>
        <v>0</v>
      </c>
      <c r="E20" s="54"/>
      <c r="F20" s="28"/>
      <c r="G20" s="52"/>
      <c r="H20" s="52"/>
      <c r="I20" s="2"/>
    </row>
    <row r="21" spans="2:9">
      <c r="B21" s="21">
        <v>4</v>
      </c>
      <c r="C21" s="28">
        <f t="shared" si="4"/>
        <v>0</v>
      </c>
      <c r="D21" s="28">
        <f t="shared" si="3"/>
        <v>0</v>
      </c>
      <c r="E21" s="55"/>
      <c r="F21" s="28"/>
      <c r="G21" s="52"/>
      <c r="H21" s="52"/>
      <c r="I21" s="53"/>
    </row>
    <row r="22" spans="2:9">
      <c r="B22" s="21">
        <v>5</v>
      </c>
      <c r="C22" s="28">
        <f t="shared" si="4"/>
        <v>0</v>
      </c>
      <c r="D22" s="28">
        <f t="shared" si="3"/>
        <v>0</v>
      </c>
      <c r="E22" s="54"/>
      <c r="F22" s="28"/>
      <c r="G22" s="52"/>
      <c r="H22" s="52"/>
      <c r="I22" s="2"/>
    </row>
    <row r="23" spans="2:9">
      <c r="B23" s="21">
        <v>6</v>
      </c>
      <c r="C23" s="28">
        <f t="shared" si="4"/>
        <v>0</v>
      </c>
      <c r="D23" s="28">
        <f t="shared" si="3"/>
        <v>0</v>
      </c>
      <c r="E23" s="55"/>
      <c r="F23" s="28"/>
      <c r="G23" s="52"/>
      <c r="H23" s="52"/>
      <c r="I23" s="53"/>
    </row>
    <row r="24" spans="2:9">
      <c r="B24" s="21">
        <v>7</v>
      </c>
      <c r="C24" s="28">
        <f t="shared" si="4"/>
        <v>0</v>
      </c>
      <c r="D24" s="28">
        <f>C24*$D$3</f>
        <v>0</v>
      </c>
      <c r="E24" s="55"/>
      <c r="F24" s="28"/>
      <c r="G24" s="52"/>
      <c r="H24" s="52"/>
      <c r="I24" s="53"/>
    </row>
    <row r="25" spans="2:9">
      <c r="B25" s="21">
        <v>8</v>
      </c>
      <c r="C25" s="28">
        <f t="shared" si="4"/>
        <v>0</v>
      </c>
      <c r="D25" s="28">
        <f t="shared" si="3"/>
        <v>0</v>
      </c>
      <c r="E25" s="55"/>
      <c r="F25" s="28"/>
      <c r="G25" s="52"/>
      <c r="H25" s="52"/>
      <c r="I25" s="53"/>
    </row>
    <row r="26" spans="2:9">
      <c r="B26" s="21" t="s">
        <v>51</v>
      </c>
      <c r="C26" s="28" t="e">
        <f>C18</f>
        <v>#DIV/0!</v>
      </c>
      <c r="D26" s="28" t="e">
        <f t="shared" si="3"/>
        <v>#DIV/0!</v>
      </c>
      <c r="E26" s="28"/>
      <c r="F26" s="28"/>
      <c r="G26" s="52"/>
      <c r="H26" s="52"/>
      <c r="I26" s="61"/>
    </row>
    <row r="27" spans="2:9">
      <c r="B27" s="56" t="s">
        <v>52</v>
      </c>
      <c r="C27" s="55"/>
      <c r="D27" s="57" t="e">
        <f>SUM(D18:D26)</f>
        <v>#DIV/0!</v>
      </c>
      <c r="E27" s="58"/>
      <c r="F27" s="28"/>
      <c r="G27" s="58"/>
      <c r="H27" s="58"/>
      <c r="I27" s="2"/>
    </row>
    <row r="28" spans="2:9">
      <c r="B28" s="59"/>
      <c r="C28" s="59"/>
      <c r="D28" s="59"/>
      <c r="E28" s="59"/>
      <c r="F28" s="59"/>
      <c r="G28" s="59"/>
      <c r="H28" s="60"/>
      <c r="I28" s="60"/>
    </row>
    <row r="29" spans="2:9">
      <c r="B29" s="59"/>
      <c r="C29" s="59"/>
      <c r="D29" s="59"/>
      <c r="E29" s="59"/>
      <c r="F29" s="59"/>
      <c r="G29" s="59"/>
      <c r="H29" s="60"/>
      <c r="I29" s="60"/>
    </row>
    <row r="30" spans="2:9" ht="17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>
      <c r="B31" s="2">
        <f>2*C3+B3</f>
        <v>0</v>
      </c>
      <c r="C31" s="2"/>
      <c r="D31" s="2">
        <f>'data 2'!K3</f>
        <v>0</v>
      </c>
      <c r="E31" s="2" t="e">
        <f>'data 2'!N3</f>
        <v>#DIV/0!</v>
      </c>
      <c r="F31" s="2" t="e">
        <f>3.07*(I15*C3^2*(2*C3+3*B3)/D3^3)^0.25</f>
        <v>#DIV/0!</v>
      </c>
      <c r="G31" s="2" t="e">
        <f>F31/E31</f>
        <v>#DIV/0!</v>
      </c>
      <c r="H31" s="2" t="e">
        <f>((E31+2*B31)/(E31+0.5*B31))^0.5</f>
        <v>#DIV/0!</v>
      </c>
      <c r="I31" s="62" t="e">
        <f>IF(G31&gt;2,H31,(H31-(H31-1)*(2*F31/E31-(F31/E31)^2)))</f>
        <v>#DIV/0!</v>
      </c>
    </row>
    <row r="32" spans="2:9">
      <c r="B32" s="5"/>
      <c r="C32" s="5"/>
      <c r="D32" s="5"/>
      <c r="E32" s="5"/>
      <c r="F32" s="5"/>
      <c r="G32" s="5"/>
      <c r="H32" s="5"/>
      <c r="I32" s="5"/>
    </row>
    <row r="33" spans="2:9" ht="17">
      <c r="B33" s="1" t="s">
        <v>60</v>
      </c>
      <c r="C33" s="5"/>
      <c r="D33" s="5"/>
      <c r="E33" s="5"/>
      <c r="F33" s="5"/>
      <c r="G33" s="5"/>
      <c r="H33" s="5"/>
      <c r="I33" s="5"/>
    </row>
    <row r="34" spans="2:9">
      <c r="B34" s="2" t="e">
        <f>4.2*I31*E3/D27*(I15*D3^3/4/C3^2/(2*C3+3*B3))^0.5</f>
        <v>#DIV/0!</v>
      </c>
      <c r="C34" s="5"/>
      <c r="D34" s="5"/>
      <c r="E34" s="5"/>
      <c r="F34" s="5"/>
      <c r="G34" s="5"/>
      <c r="H34" s="5"/>
      <c r="I34" s="5"/>
    </row>
    <row r="36" spans="2:9" ht="17">
      <c r="B36" s="1" t="s">
        <v>2</v>
      </c>
      <c r="C36" s="1" t="s">
        <v>61</v>
      </c>
      <c r="D36" s="1" t="s">
        <v>62</v>
      </c>
      <c r="E36" s="1" t="s">
        <v>63</v>
      </c>
    </row>
    <row r="37" spans="2:9">
      <c r="B37" s="53">
        <f>'data 2'!L3</f>
        <v>0</v>
      </c>
      <c r="C37" s="50" t="e">
        <f>(B37/B34)^0.5</f>
        <v>#DIV/0!</v>
      </c>
      <c r="D37" s="75" t="e">
        <f>IF(C37&lt;0.65,1,(1.47-0.723*C37))</f>
        <v>#DIV/0!</v>
      </c>
      <c r="E37" s="75" t="e">
        <f>IF(C37&gt;1.38,0.66/C37,D37)</f>
        <v>#DIV/0!</v>
      </c>
    </row>
    <row r="39" spans="2:9" ht="17">
      <c r="B39" s="2" t="s">
        <v>64</v>
      </c>
      <c r="C39" s="21" t="s">
        <v>65</v>
      </c>
      <c r="E39" t="s">
        <v>66</v>
      </c>
    </row>
    <row r="40" spans="2:9">
      <c r="B40" s="63" t="e">
        <f>E37</f>
        <v>#DIV/0!</v>
      </c>
      <c r="C40" s="28" t="e">
        <f>B40*D3*B37/'flange (3)'!J5/'flange (3)'!K5</f>
        <v>#DIV/0!</v>
      </c>
      <c r="E40" s="23" t="e">
        <f>B37/'flange (3)'!K5/'flange (3)'!J5</f>
        <v>#DIV/0!</v>
      </c>
      <c r="G40" s="64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I3" sqref="I3"/>
    </sheetView>
  </sheetViews>
  <sheetFormatPr baseColWidth="10" defaultRowHeight="15" x14ac:dyDescent="0"/>
  <cols>
    <col min="2" max="2" width="5" customWidth="1"/>
    <col min="3" max="3" width="5.83203125" customWidth="1"/>
    <col min="6" max="6" width="5.6640625" customWidth="1"/>
    <col min="7" max="7" width="9.1640625" customWidth="1"/>
    <col min="8" max="8" width="7" customWidth="1"/>
    <col min="9" max="9" width="5.33203125" customWidth="1"/>
    <col min="10" max="10" width="7.83203125" customWidth="1"/>
    <col min="11" max="11" width="7.1640625" customWidth="1"/>
    <col min="12" max="12" width="6.6640625" customWidth="1"/>
    <col min="13" max="13" width="6.5" customWidth="1"/>
    <col min="14" max="14" width="8.1640625" customWidth="1"/>
    <col min="15" max="15" width="7.1640625" customWidth="1"/>
  </cols>
  <sheetData>
    <row r="2" spans="2:15">
      <c r="B2" s="5" t="s">
        <v>67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7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45" t="s">
        <v>38</v>
      </c>
      <c r="H4" s="46" t="s">
        <v>39</v>
      </c>
      <c r="I4" s="1" t="s">
        <v>40</v>
      </c>
      <c r="J4" s="47" t="s">
        <v>41</v>
      </c>
      <c r="K4" s="48" t="s">
        <v>42</v>
      </c>
      <c r="L4" s="1" t="s">
        <v>43</v>
      </c>
      <c r="M4" s="1" t="s">
        <v>44</v>
      </c>
      <c r="N4" s="3" t="s">
        <v>45</v>
      </c>
      <c r="O4" s="3" t="s">
        <v>46</v>
      </c>
    </row>
    <row r="5" spans="2:15">
      <c r="B5" s="2">
        <f>flange!B5</f>
        <v>0</v>
      </c>
      <c r="C5" s="2">
        <f>flange!C5</f>
        <v>0</v>
      </c>
      <c r="D5" s="2">
        <f>flange!D5</f>
        <v>0</v>
      </c>
      <c r="E5" s="2">
        <f>flange!E5</f>
        <v>0</v>
      </c>
      <c r="F5" s="2">
        <v>4</v>
      </c>
      <c r="G5" s="2">
        <v>1</v>
      </c>
      <c r="H5" s="2" t="e">
        <f>(235/D5)^0.5</f>
        <v>#DIV/0!</v>
      </c>
      <c r="I5" s="50" t="e">
        <f>B5/C5/28.4/H5/(F5)^0.5</f>
        <v>#DIV/0!</v>
      </c>
      <c r="J5" s="50" t="e">
        <f>D5*'stiffner (3)'!B40</f>
        <v>#DIV/0!</v>
      </c>
      <c r="K5" s="50">
        <v>1</v>
      </c>
      <c r="L5" s="50" t="e">
        <f>I5*SQRT(J5/D5/K5)</f>
        <v>#DIV/0!</v>
      </c>
      <c r="M5" s="50" t="e">
        <f>MIN(IF(L5&gt;0.673,(L5-0.055*(3+G5))/L5^2+0.18*(I5-L5)/(I5-0.6),1),1)</f>
        <v>#DIV/0!</v>
      </c>
      <c r="N5" s="2" t="e">
        <f>M5*B5</f>
        <v>#DIV/0!</v>
      </c>
      <c r="O5" s="51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topLeftCell="A28" workbookViewId="0">
      <selection activeCell="I3" sqref="I3"/>
    </sheetView>
  </sheetViews>
  <sheetFormatPr baseColWidth="10" defaultRowHeight="15" x14ac:dyDescent="0"/>
  <cols>
    <col min="9" max="9" width="14.6640625" bestFit="1" customWidth="1"/>
  </cols>
  <sheetData>
    <row r="2" spans="2:11" ht="17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5"/>
      <c r="H2" s="5"/>
      <c r="I2" s="5"/>
      <c r="K2" s="47" t="s">
        <v>41</v>
      </c>
    </row>
    <row r="3" spans="2:11">
      <c r="B3" s="2">
        <f>stiffner!B3</f>
        <v>0</v>
      </c>
      <c r="C3" s="2">
        <f>stiffner!C3</f>
        <v>0</v>
      </c>
      <c r="D3" s="2">
        <f>stiffner!D3</f>
        <v>0</v>
      </c>
      <c r="E3" s="2">
        <f>stiffner!E3</f>
        <v>0</v>
      </c>
      <c r="F3" s="49">
        <f>data!P6</f>
        <v>0</v>
      </c>
      <c r="G3" s="5"/>
      <c r="H3" s="5"/>
      <c r="I3" s="5"/>
      <c r="K3" s="50" t="e">
        <f>F3*((data!L6-stiffner!G15-'moment (2)'!H27)/'moment (2)'!H27)</f>
        <v>#DIV/0!</v>
      </c>
    </row>
    <row r="4" spans="2:11">
      <c r="B4" s="5"/>
      <c r="C4" s="5"/>
      <c r="D4" s="5"/>
      <c r="E4" s="5"/>
      <c r="F4" s="5"/>
      <c r="G4" s="5"/>
      <c r="H4" s="5"/>
      <c r="I4" s="5"/>
    </row>
    <row r="5" spans="2:11" ht="17">
      <c r="B5" s="21" t="s">
        <v>48</v>
      </c>
      <c r="C5" s="21" t="s">
        <v>49</v>
      </c>
      <c r="D5" s="21" t="s">
        <v>29</v>
      </c>
      <c r="E5" s="21" t="s">
        <v>30</v>
      </c>
      <c r="F5" s="21" t="s">
        <v>31</v>
      </c>
      <c r="G5" s="21" t="s">
        <v>32</v>
      </c>
      <c r="H5" s="21" t="s">
        <v>33</v>
      </c>
      <c r="I5" s="21" t="s">
        <v>34</v>
      </c>
    </row>
    <row r="6" spans="2:11">
      <c r="B6" s="21" t="s">
        <v>50</v>
      </c>
      <c r="C6" s="31">
        <f>stiffner!C6</f>
        <v>0</v>
      </c>
      <c r="D6" s="28">
        <f>C6*$D$3</f>
        <v>0</v>
      </c>
      <c r="E6" s="31">
        <f>stiffner!E6</f>
        <v>0</v>
      </c>
      <c r="F6" s="28">
        <f>D6*E6</f>
        <v>0</v>
      </c>
      <c r="G6" s="52" t="e">
        <f>$G$15-E6</f>
        <v>#DIV/0!</v>
      </c>
      <c r="H6" s="31">
        <f>stiffner!H6</f>
        <v>0</v>
      </c>
      <c r="I6" s="31" t="e">
        <f>stiffner!I6</f>
        <v>#DIV/0!</v>
      </c>
    </row>
    <row r="7" spans="2:11">
      <c r="B7" s="65">
        <v>2</v>
      </c>
      <c r="C7" s="76">
        <f>stiffner!C7</f>
        <v>0</v>
      </c>
      <c r="D7" s="66">
        <f t="shared" ref="D7:D14" si="0">C7*$D$3</f>
        <v>0</v>
      </c>
      <c r="E7" s="76" t="e">
        <f>stiffner!E7</f>
        <v>#DIV/0!</v>
      </c>
      <c r="F7" s="66" t="e">
        <f t="shared" ref="F7:F14" si="1">D7*E7</f>
        <v>#DIV/0!</v>
      </c>
      <c r="G7" s="67" t="e">
        <f t="shared" ref="G7:G14" si="2">$G$15-E7</f>
        <v>#DIV/0!</v>
      </c>
      <c r="H7" s="76">
        <f>stiffner!H7</f>
        <v>0</v>
      </c>
      <c r="I7" s="76" t="e">
        <f>stiffner!I7</f>
        <v>#DIV/0!</v>
      </c>
    </row>
    <row r="8" spans="2:11">
      <c r="B8" s="22">
        <v>3</v>
      </c>
      <c r="C8" s="31">
        <f>stiffner!C8</f>
        <v>0</v>
      </c>
      <c r="D8" s="69">
        <f t="shared" si="0"/>
        <v>0</v>
      </c>
      <c r="E8" s="54">
        <f>data!O6/2</f>
        <v>0</v>
      </c>
      <c r="F8" s="69">
        <f t="shared" si="1"/>
        <v>0</v>
      </c>
      <c r="G8" s="70" t="e">
        <f t="shared" si="2"/>
        <v>#DIV/0!</v>
      </c>
      <c r="H8" s="31">
        <f>stiffner!H8</f>
        <v>0</v>
      </c>
      <c r="I8" s="31" t="e">
        <f>stiffner!I8</f>
        <v>#DIV/0!</v>
      </c>
    </row>
    <row r="9" spans="2:11">
      <c r="B9" s="65">
        <v>4</v>
      </c>
      <c r="C9" s="76">
        <f>stiffner!C9</f>
        <v>0</v>
      </c>
      <c r="D9" s="66">
        <f t="shared" si="0"/>
        <v>0</v>
      </c>
      <c r="E9" s="76" t="e">
        <f>stiffner!E9</f>
        <v>#DIV/0!</v>
      </c>
      <c r="F9" s="66" t="e">
        <f t="shared" si="1"/>
        <v>#DIV/0!</v>
      </c>
      <c r="G9" s="67" t="e">
        <f t="shared" si="2"/>
        <v>#DIV/0!</v>
      </c>
      <c r="H9" s="76">
        <f>stiffner!H9</f>
        <v>0</v>
      </c>
      <c r="I9" s="76" t="e">
        <f>stiffner!I9</f>
        <v>#DIV/0!</v>
      </c>
    </row>
    <row r="10" spans="2:11">
      <c r="B10" s="21">
        <v>5</v>
      </c>
      <c r="C10" s="31">
        <f>stiffner!C10</f>
        <v>0</v>
      </c>
      <c r="D10" s="28">
        <f t="shared" si="0"/>
        <v>0</v>
      </c>
      <c r="E10" s="54">
        <f>data!O6</f>
        <v>0</v>
      </c>
      <c r="F10" s="28">
        <f t="shared" si="1"/>
        <v>0</v>
      </c>
      <c r="G10" s="52" t="e">
        <f t="shared" si="2"/>
        <v>#DIV/0!</v>
      </c>
      <c r="H10" s="31">
        <f>stiffner!H10</f>
        <v>0</v>
      </c>
      <c r="I10" s="31" t="e">
        <f>stiffner!I10</f>
        <v>#DIV/0!</v>
      </c>
    </row>
    <row r="11" spans="2:11">
      <c r="B11" s="65">
        <v>6</v>
      </c>
      <c r="C11" s="76">
        <f>stiffner!C11</f>
        <v>0</v>
      </c>
      <c r="D11" s="66">
        <f t="shared" si="0"/>
        <v>0</v>
      </c>
      <c r="E11" s="76" t="e">
        <f>stiffner!E11</f>
        <v>#DIV/0!</v>
      </c>
      <c r="F11" s="66" t="e">
        <f t="shared" si="1"/>
        <v>#DIV/0!</v>
      </c>
      <c r="G11" s="67" t="e">
        <f t="shared" si="2"/>
        <v>#DIV/0!</v>
      </c>
      <c r="H11" s="76">
        <f>stiffner!H11</f>
        <v>0</v>
      </c>
      <c r="I11" s="76" t="e">
        <f>stiffner!I11</f>
        <v>#DIV/0!</v>
      </c>
    </row>
    <row r="12" spans="2:11">
      <c r="B12" s="21">
        <v>7</v>
      </c>
      <c r="C12" s="31">
        <f>stiffner!C12</f>
        <v>0</v>
      </c>
      <c r="D12" s="28">
        <f t="shared" si="0"/>
        <v>0</v>
      </c>
      <c r="E12" s="31">
        <f>stiffner!E12</f>
        <v>0</v>
      </c>
      <c r="F12" s="28">
        <f t="shared" si="1"/>
        <v>0</v>
      </c>
      <c r="G12" s="52" t="e">
        <f t="shared" si="2"/>
        <v>#DIV/0!</v>
      </c>
      <c r="H12" s="31">
        <f>stiffner!H12</f>
        <v>0</v>
      </c>
      <c r="I12" s="31" t="e">
        <f>stiffner!I12</f>
        <v>#DIV/0!</v>
      </c>
    </row>
    <row r="13" spans="2:11">
      <c r="B13" s="65">
        <v>8</v>
      </c>
      <c r="C13" s="76">
        <f>stiffner!C13</f>
        <v>0</v>
      </c>
      <c r="D13" s="66">
        <f t="shared" si="0"/>
        <v>0</v>
      </c>
      <c r="E13" s="76" t="e">
        <f>stiffner!E13</f>
        <v>#DIV/0!</v>
      </c>
      <c r="F13" s="66" t="e">
        <f t="shared" si="1"/>
        <v>#DIV/0!</v>
      </c>
      <c r="G13" s="67" t="e">
        <f t="shared" si="2"/>
        <v>#DIV/0!</v>
      </c>
      <c r="H13" s="76">
        <f>stiffner!H13</f>
        <v>0</v>
      </c>
      <c r="I13" s="76" t="e">
        <f>stiffner!I13</f>
        <v>#DIV/0!</v>
      </c>
    </row>
    <row r="14" spans="2:11">
      <c r="B14" s="21" t="s">
        <v>51</v>
      </c>
      <c r="C14" s="31">
        <f>stiffner!C14</f>
        <v>0</v>
      </c>
      <c r="D14" s="28">
        <f t="shared" si="0"/>
        <v>0</v>
      </c>
      <c r="E14" s="31">
        <f>stiffner!E14</f>
        <v>0</v>
      </c>
      <c r="F14" s="28">
        <f t="shared" si="1"/>
        <v>0</v>
      </c>
      <c r="G14" s="52" t="e">
        <f t="shared" si="2"/>
        <v>#DIV/0!</v>
      </c>
      <c r="H14" s="31">
        <f>stiffner!H14</f>
        <v>0</v>
      </c>
      <c r="I14" s="31" t="e">
        <f>stiffner!I14</f>
        <v>#DIV/0!</v>
      </c>
    </row>
    <row r="15" spans="2:11">
      <c r="B15" s="56" t="s">
        <v>52</v>
      </c>
      <c r="C15" s="55"/>
      <c r="D15" s="57">
        <f>SUM(D6:D14)</f>
        <v>0</v>
      </c>
      <c r="E15" s="58"/>
      <c r="F15" s="28" t="e">
        <f>SUM(F6:F14)</f>
        <v>#DIV/0!</v>
      </c>
      <c r="G15" s="58" t="e">
        <f>F15/D15</f>
        <v>#DIV/0!</v>
      </c>
      <c r="H15" s="58"/>
      <c r="I15" s="71" t="e">
        <f>SUM(I6:I14)</f>
        <v>#DIV/0!</v>
      </c>
    </row>
    <row r="16" spans="2:11">
      <c r="B16" s="59"/>
      <c r="C16" s="59"/>
      <c r="D16" s="59"/>
      <c r="E16" s="59"/>
      <c r="F16" s="59"/>
      <c r="G16" s="59"/>
      <c r="H16" s="60"/>
      <c r="I16" s="60"/>
    </row>
    <row r="17" spans="2:9" ht="17">
      <c r="B17" s="21" t="s">
        <v>48</v>
      </c>
      <c r="C17" s="21" t="s">
        <v>49</v>
      </c>
      <c r="D17" s="21" t="s">
        <v>29</v>
      </c>
      <c r="E17" s="21"/>
      <c r="F17" s="21"/>
      <c r="G17" s="21"/>
      <c r="H17" s="21"/>
      <c r="I17" s="21"/>
    </row>
    <row r="18" spans="2:9">
      <c r="B18" s="21" t="s">
        <v>50</v>
      </c>
      <c r="C18" s="28" t="e">
        <f>'flangebis (3)'!O5-'data 2'!C17</f>
        <v>#DIV/0!</v>
      </c>
      <c r="D18" s="28" t="e">
        <f>C18*$D$3</f>
        <v>#DIV/0!</v>
      </c>
      <c r="E18" s="28"/>
      <c r="F18" s="28"/>
      <c r="G18" s="52"/>
      <c r="H18" s="52"/>
      <c r="I18" s="26"/>
    </row>
    <row r="19" spans="2:9">
      <c r="B19" s="21">
        <v>2</v>
      </c>
      <c r="C19" s="28">
        <f>C7</f>
        <v>0</v>
      </c>
      <c r="D19" s="28">
        <f t="shared" ref="D19:D26" si="3">C19*$D$3</f>
        <v>0</v>
      </c>
      <c r="E19" s="28"/>
      <c r="F19" s="28"/>
      <c r="G19" s="52"/>
      <c r="H19" s="52"/>
      <c r="I19" s="53"/>
    </row>
    <row r="20" spans="2:9">
      <c r="B20" s="21">
        <v>3</v>
      </c>
      <c r="C20" s="28">
        <f t="shared" ref="C20:C25" si="4">C8</f>
        <v>0</v>
      </c>
      <c r="D20" s="28">
        <f t="shared" si="3"/>
        <v>0</v>
      </c>
      <c r="E20" s="54"/>
      <c r="F20" s="28"/>
      <c r="G20" s="52"/>
      <c r="H20" s="52"/>
      <c r="I20" s="2"/>
    </row>
    <row r="21" spans="2:9">
      <c r="B21" s="21">
        <v>4</v>
      </c>
      <c r="C21" s="28">
        <f t="shared" si="4"/>
        <v>0</v>
      </c>
      <c r="D21" s="28">
        <f t="shared" si="3"/>
        <v>0</v>
      </c>
      <c r="E21" s="55"/>
      <c r="F21" s="28"/>
      <c r="G21" s="52"/>
      <c r="H21" s="52"/>
      <c r="I21" s="53"/>
    </row>
    <row r="22" spans="2:9">
      <c r="B22" s="21">
        <v>5</v>
      </c>
      <c r="C22" s="28">
        <f t="shared" si="4"/>
        <v>0</v>
      </c>
      <c r="D22" s="28">
        <f t="shared" si="3"/>
        <v>0</v>
      </c>
      <c r="E22" s="54"/>
      <c r="F22" s="28"/>
      <c r="G22" s="52"/>
      <c r="H22" s="52"/>
      <c r="I22" s="2"/>
    </row>
    <row r="23" spans="2:9">
      <c r="B23" s="21">
        <v>6</v>
      </c>
      <c r="C23" s="28">
        <f t="shared" si="4"/>
        <v>0</v>
      </c>
      <c r="D23" s="28">
        <f t="shared" si="3"/>
        <v>0</v>
      </c>
      <c r="E23" s="55"/>
      <c r="F23" s="28"/>
      <c r="G23" s="52"/>
      <c r="H23" s="52"/>
      <c r="I23" s="53"/>
    </row>
    <row r="24" spans="2:9">
      <c r="B24" s="21">
        <v>7</v>
      </c>
      <c r="C24" s="28">
        <f t="shared" si="4"/>
        <v>0</v>
      </c>
      <c r="D24" s="28">
        <f>C24*$D$3</f>
        <v>0</v>
      </c>
      <c r="E24" s="55"/>
      <c r="F24" s="28"/>
      <c r="G24" s="52"/>
      <c r="H24" s="52"/>
      <c r="I24" s="53"/>
    </row>
    <row r="25" spans="2:9">
      <c r="B25" s="21">
        <v>8</v>
      </c>
      <c r="C25" s="28">
        <f t="shared" si="4"/>
        <v>0</v>
      </c>
      <c r="D25" s="28">
        <f t="shared" si="3"/>
        <v>0</v>
      </c>
      <c r="E25" s="55"/>
      <c r="F25" s="28"/>
      <c r="G25" s="52"/>
      <c r="H25" s="52"/>
      <c r="I25" s="53"/>
    </row>
    <row r="26" spans="2:9">
      <c r="B26" s="21" t="s">
        <v>51</v>
      </c>
      <c r="C26" s="28" t="e">
        <f>C18</f>
        <v>#DIV/0!</v>
      </c>
      <c r="D26" s="28" t="e">
        <f t="shared" si="3"/>
        <v>#DIV/0!</v>
      </c>
      <c r="E26" s="28"/>
      <c r="F26" s="28"/>
      <c r="G26" s="52"/>
      <c r="H26" s="52"/>
      <c r="I26" s="61"/>
    </row>
    <row r="27" spans="2:9">
      <c r="B27" s="56" t="s">
        <v>52</v>
      </c>
      <c r="C27" s="55"/>
      <c r="D27" s="57" t="e">
        <f>SUM(D18:D26)</f>
        <v>#DIV/0!</v>
      </c>
      <c r="E27" s="58"/>
      <c r="F27" s="28"/>
      <c r="G27" s="58"/>
      <c r="H27" s="58"/>
      <c r="I27" s="2"/>
    </row>
    <row r="28" spans="2:9">
      <c r="B28" s="59"/>
      <c r="C28" s="59"/>
      <c r="D28" s="59"/>
      <c r="E28" s="59"/>
      <c r="F28" s="59"/>
      <c r="G28" s="59"/>
      <c r="H28" s="60"/>
      <c r="I28" s="60"/>
    </row>
    <row r="29" spans="2:9">
      <c r="B29" s="59"/>
      <c r="C29" s="59"/>
      <c r="D29" s="59"/>
      <c r="E29" s="59"/>
      <c r="F29" s="59"/>
      <c r="G29" s="59"/>
      <c r="H29" s="60"/>
      <c r="I29" s="60"/>
    </row>
    <row r="30" spans="2:9" ht="17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>
      <c r="B31" s="2">
        <f>2*C3+B3</f>
        <v>0</v>
      </c>
      <c r="C31" s="2"/>
      <c r="D31" s="2">
        <f>'data 2'!K3</f>
        <v>0</v>
      </c>
      <c r="E31" s="2" t="e">
        <f>'data 2'!N3</f>
        <v>#DIV/0!</v>
      </c>
      <c r="F31" s="2" t="e">
        <f>3.07*(I15*C3^2*(2*C3+3*B3)/D3^3)^0.25</f>
        <v>#DIV/0!</v>
      </c>
      <c r="G31" s="2" t="e">
        <f>F31/E31</f>
        <v>#DIV/0!</v>
      </c>
      <c r="H31" s="2" t="e">
        <f>((E31+2*B31)/(E31+0.5*B31))^0.5</f>
        <v>#DIV/0!</v>
      </c>
      <c r="I31" s="62" t="e">
        <f>IF(G31&gt;2,H31,(H31-(H31-1)*(2*F31/E31-(F31/E31)^2)))</f>
        <v>#DIV/0!</v>
      </c>
    </row>
    <row r="32" spans="2:9">
      <c r="B32" s="5"/>
      <c r="C32" s="5"/>
      <c r="D32" s="5"/>
      <c r="E32" s="5"/>
      <c r="F32" s="5"/>
      <c r="G32" s="5"/>
      <c r="H32" s="5"/>
      <c r="I32" s="5"/>
    </row>
    <row r="33" spans="2:9" ht="17">
      <c r="B33" s="1" t="s">
        <v>60</v>
      </c>
      <c r="C33" s="5"/>
      <c r="D33" s="5"/>
      <c r="E33" s="5"/>
      <c r="F33" s="5"/>
      <c r="G33" s="5"/>
      <c r="H33" s="5"/>
      <c r="I33" s="5"/>
    </row>
    <row r="34" spans="2:9">
      <c r="B34" s="2" t="e">
        <f>4.2*I31*E3/D27*(I15*D3^3/4/C3^2/(2*C3+3*B3))^0.5</f>
        <v>#DIV/0!</v>
      </c>
      <c r="C34" s="5"/>
      <c r="D34" s="5"/>
      <c r="E34" s="5"/>
      <c r="F34" s="5"/>
      <c r="G34" s="5"/>
      <c r="H34" s="5"/>
      <c r="I34" s="5"/>
    </row>
    <row r="36" spans="2:9" ht="17">
      <c r="B36" s="1" t="s">
        <v>2</v>
      </c>
      <c r="C36" s="1" t="s">
        <v>61</v>
      </c>
      <c r="D36" s="1" t="s">
        <v>62</v>
      </c>
      <c r="E36" s="1" t="s">
        <v>63</v>
      </c>
    </row>
    <row r="37" spans="2:9">
      <c r="B37" s="53">
        <f>'data 2'!L3</f>
        <v>0</v>
      </c>
      <c r="C37" s="50" t="e">
        <f>(B37/B34)^0.5</f>
        <v>#DIV/0!</v>
      </c>
      <c r="D37" s="75" t="e">
        <f>IF(C37&lt;0.65,1,(1.47-0.723*C37))</f>
        <v>#DIV/0!</v>
      </c>
      <c r="E37" s="75" t="e">
        <f>IF(C37&gt;1.38,0.66/C37,D37)</f>
        <v>#DIV/0!</v>
      </c>
    </row>
    <row r="39" spans="2:9" ht="17">
      <c r="B39" s="2" t="s">
        <v>64</v>
      </c>
      <c r="C39" s="21" t="s">
        <v>65</v>
      </c>
      <c r="E39" t="s">
        <v>66</v>
      </c>
    </row>
    <row r="40" spans="2:9">
      <c r="B40" s="63" t="e">
        <f>E37</f>
        <v>#DIV/0!</v>
      </c>
      <c r="C40" s="28" t="e">
        <f>B40*D3*B37/'flange (3)'!J5/'flange (3)'!K5</f>
        <v>#DIV/0!</v>
      </c>
      <c r="E40" s="23" t="e">
        <f>B37/'flange (3)'!K5/'flange (3)'!J5</f>
        <v>#DIV/0!</v>
      </c>
      <c r="G40" s="64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I3" sqref="I3"/>
    </sheetView>
  </sheetViews>
  <sheetFormatPr baseColWidth="10" defaultRowHeight="15" x14ac:dyDescent="0"/>
  <sheetData>
    <row r="2" spans="2:8" ht="17">
      <c r="B2" s="1" t="s">
        <v>1</v>
      </c>
      <c r="C2" s="1" t="s">
        <v>3</v>
      </c>
      <c r="D2" s="1" t="s">
        <v>2</v>
      </c>
      <c r="E2" s="48" t="s">
        <v>42</v>
      </c>
      <c r="F2" s="47" t="s">
        <v>41</v>
      </c>
      <c r="G2" s="1" t="s">
        <v>68</v>
      </c>
      <c r="H2" s="1" t="s">
        <v>69</v>
      </c>
    </row>
    <row r="3" spans="2:8">
      <c r="B3" s="6" t="e">
        <f>web!B3</f>
        <v>#DIV/0!</v>
      </c>
      <c r="C3" s="6">
        <f>data!Q6</f>
        <v>0</v>
      </c>
      <c r="D3" s="6">
        <f>data!P6</f>
        <v>0</v>
      </c>
      <c r="E3" s="5">
        <f>flange!K5</f>
        <v>1</v>
      </c>
      <c r="F3" s="5" t="e">
        <f>'flange (3)'!J5</f>
        <v>#DIV/0!</v>
      </c>
      <c r="G3" s="6" t="e">
        <f>'data 2'!K3-'moment (2)'!H27</f>
        <v>#DIV/0!</v>
      </c>
      <c r="H3" s="5" t="e">
        <f>G3/SIN('data 2'!C3)-'data 2'!F16</f>
        <v>#DIV/0!</v>
      </c>
    </row>
    <row r="5" spans="2:8" ht="17">
      <c r="B5" s="1" t="s">
        <v>70</v>
      </c>
      <c r="C5" s="1" t="s">
        <v>71</v>
      </c>
      <c r="D5" s="1" t="s">
        <v>72</v>
      </c>
      <c r="E5" s="1" t="s">
        <v>73</v>
      </c>
      <c r="F5" s="5" t="s">
        <v>74</v>
      </c>
    </row>
    <row r="6" spans="2:8">
      <c r="B6" s="61" t="e">
        <f>0.95*B3*(C3/F3/E3)^0.5</f>
        <v>#DIV/0!</v>
      </c>
      <c r="C6" s="61" t="e">
        <f>B6</f>
        <v>#DIV/0!</v>
      </c>
      <c r="D6" s="2" t="e">
        <f>1.5*C6</f>
        <v>#DIV/0!</v>
      </c>
      <c r="E6" s="6" t="e">
        <f>C6+D6</f>
        <v>#DIV/0!</v>
      </c>
      <c r="F6" s="5"/>
    </row>
    <row r="10" spans="2:8" ht="17">
      <c r="B10" s="1" t="s">
        <v>4</v>
      </c>
      <c r="C10" s="21" t="s">
        <v>49</v>
      </c>
      <c r="D10" s="21" t="s">
        <v>29</v>
      </c>
      <c r="E10" s="21" t="s">
        <v>30</v>
      </c>
      <c r="F10" s="21" t="s">
        <v>31</v>
      </c>
    </row>
    <row r="11" spans="2:8">
      <c r="B11" s="1">
        <v>1</v>
      </c>
      <c r="C11" s="78">
        <f>'data 2'!C28</f>
        <v>0</v>
      </c>
    </row>
    <row r="12" spans="2:8">
      <c r="B12" s="1">
        <v>2</v>
      </c>
      <c r="C12" s="78">
        <f>'data 2'!C29</f>
        <v>0</v>
      </c>
    </row>
    <row r="13" spans="2:8">
      <c r="B13" s="1">
        <v>3</v>
      </c>
      <c r="C13" s="78">
        <f>'data 2'!C30</f>
        <v>0</v>
      </c>
    </row>
    <row r="14" spans="2:8">
      <c r="B14" s="1">
        <v>4</v>
      </c>
      <c r="C14" s="78">
        <f>'data 2'!C31</f>
        <v>0</v>
      </c>
    </row>
    <row r="15" spans="2:8">
      <c r="B15" s="1">
        <v>51</v>
      </c>
      <c r="C15" s="78" t="e">
        <f>'flangebis (3)'!O5-'data 2'!C17</f>
        <v>#DIV/0!</v>
      </c>
    </row>
    <row r="16" spans="2:8">
      <c r="B16" s="1">
        <v>52</v>
      </c>
      <c r="C16" s="78" t="e">
        <f>'flange (3)'!O5-'data 2'!F17</f>
        <v>#DIV/0!</v>
      </c>
    </row>
    <row r="17" spans="2:3">
      <c r="B17" s="1">
        <v>6</v>
      </c>
      <c r="C17" s="78">
        <f>'data 2'!C33</f>
        <v>0</v>
      </c>
    </row>
    <row r="18" spans="2:3">
      <c r="B18" s="1">
        <v>7</v>
      </c>
      <c r="C18" s="78">
        <f>'data 2'!C34</f>
        <v>0</v>
      </c>
    </row>
    <row r="19" spans="2:3">
      <c r="B19" s="77" t="s">
        <v>75</v>
      </c>
      <c r="C19" s="78" t="e">
        <f>IF(-(H3-C6-D6)&gt;0,0,(-(H3-C6-D6)))</f>
        <v>#DIV/0!</v>
      </c>
    </row>
    <row r="20" spans="2:3">
      <c r="B20" s="1">
        <v>8</v>
      </c>
      <c r="C20" s="78">
        <f>'data 2'!C35</f>
        <v>0</v>
      </c>
    </row>
    <row r="21" spans="2:3">
      <c r="B21" s="1">
        <v>9</v>
      </c>
      <c r="C21" s="78">
        <f>'data 2'!C36</f>
        <v>0</v>
      </c>
    </row>
    <row r="22" spans="2:3">
      <c r="B22" s="1">
        <v>10</v>
      </c>
      <c r="C22" s="78">
        <f>'data 2'!C37</f>
        <v>0</v>
      </c>
    </row>
    <row r="23" spans="2:3">
      <c r="B23" s="1">
        <v>11</v>
      </c>
      <c r="C23" s="78">
        <f>'data 2'!C38</f>
        <v>0</v>
      </c>
    </row>
    <row r="24" spans="2:3">
      <c r="B24" s="1">
        <v>12</v>
      </c>
      <c r="C24" s="78">
        <f>'data 2'!C39</f>
        <v>0</v>
      </c>
    </row>
    <row r="25" spans="2:3">
      <c r="B25" s="1">
        <v>13</v>
      </c>
      <c r="C25" s="79">
        <f>'data 2'!C40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opLeftCell="F35" zoomScale="125" zoomScaleNormal="125" zoomScalePageLayoutView="125" workbookViewId="0">
      <selection activeCell="I3" sqref="I3"/>
    </sheetView>
  </sheetViews>
  <sheetFormatPr baseColWidth="10" defaultRowHeight="15" x14ac:dyDescent="0"/>
  <sheetData>
    <row r="2" spans="2:14">
      <c r="B2" s="123" t="str">
        <f>data!B5</f>
        <v>θ1 (rad)</v>
      </c>
      <c r="C2" t="str">
        <f>data!E5</f>
        <v>θ2 (rad)</v>
      </c>
      <c r="D2" t="str">
        <f>data!G5</f>
        <v>θ3 (rad)</v>
      </c>
      <c r="E2" t="str">
        <f>data!A5</f>
        <v>R1 (mm)</v>
      </c>
      <c r="F2" t="str">
        <f>data!C5</f>
        <v>R2sup (mm)</v>
      </c>
      <c r="G2" t="str">
        <f>data!D5</f>
        <v>R2inf (mm)</v>
      </c>
      <c r="H2" t="str">
        <f>data!F5</f>
        <v>R3 (mm)</v>
      </c>
      <c r="I2" t="str">
        <f>data!J5</f>
        <v>t (mm)</v>
      </c>
      <c r="J2" t="str">
        <f>data!K5</f>
        <v>Pitch (mm)</v>
      </c>
      <c r="K2" t="str">
        <f>data!L5</f>
        <v>hw (mm)</v>
      </c>
      <c r="L2" t="str">
        <f>data!P5</f>
        <v>fyb (N/mm²)</v>
      </c>
      <c r="M2" t="str">
        <f>data!Q5</f>
        <v>E (N/mm²)</v>
      </c>
      <c r="N2" s="74" t="s">
        <v>16</v>
      </c>
    </row>
    <row r="3" spans="2:14">
      <c r="B3" s="123">
        <f>data!B6</f>
        <v>0</v>
      </c>
      <c r="C3" s="123">
        <f>data!E6</f>
        <v>0</v>
      </c>
      <c r="D3" s="123">
        <f>data!G6</f>
        <v>0</v>
      </c>
      <c r="E3">
        <f>data!A6</f>
        <v>0</v>
      </c>
      <c r="F3">
        <f>data!C6</f>
        <v>0</v>
      </c>
      <c r="G3">
        <f>data!D6</f>
        <v>0</v>
      </c>
      <c r="H3">
        <f>data!F6</f>
        <v>0</v>
      </c>
      <c r="I3" s="107" t="e">
        <f>1.09*data!$J$6*(1-data!$T$6*1.03/data!$S$6)</f>
        <v>#DIV/0!</v>
      </c>
      <c r="J3">
        <f>data!K6</f>
        <v>0</v>
      </c>
      <c r="K3">
        <f>data!L6</f>
        <v>0</v>
      </c>
      <c r="L3">
        <f>data!P6</f>
        <v>0</v>
      </c>
      <c r="M3">
        <f>data!Q6</f>
        <v>0</v>
      </c>
      <c r="N3" s="74" t="e">
        <f>K3/SIN(C3)-2*F16</f>
        <v>#DIV/0!</v>
      </c>
    </row>
    <row r="4" spans="2:14">
      <c r="I4">
        <f>data!J6</f>
        <v>0</v>
      </c>
    </row>
    <row r="5" spans="2:14">
      <c r="B5" t="str">
        <f>data!B8</f>
        <v>Element</v>
      </c>
      <c r="C5" t="str">
        <f>data!C8</f>
        <v>bpi (mm)</v>
      </c>
      <c r="D5">
        <f>data!D8</f>
        <v>0</v>
      </c>
      <c r="E5">
        <f>data!E8</f>
        <v>0</v>
      </c>
      <c r="I5" s="107"/>
    </row>
    <row r="6" spans="2:14">
      <c r="B6">
        <f>data!B9</f>
        <v>1</v>
      </c>
      <c r="C6" s="23">
        <f>data!C9</f>
        <v>0</v>
      </c>
      <c r="D6" s="23"/>
      <c r="E6" s="23"/>
    </row>
    <row r="7" spans="2:14">
      <c r="B7">
        <f>data!B10</f>
        <v>2</v>
      </c>
      <c r="C7" s="23">
        <f>data!C10</f>
        <v>0</v>
      </c>
      <c r="D7" s="23"/>
      <c r="E7" s="23"/>
    </row>
    <row r="8" spans="2:14">
      <c r="B8">
        <f>data!B11</f>
        <v>3</v>
      </c>
      <c r="C8" s="23">
        <f>data!C11</f>
        <v>0</v>
      </c>
      <c r="D8" s="23"/>
      <c r="E8" s="23"/>
    </row>
    <row r="9" spans="2:14">
      <c r="B9">
        <f>data!B12</f>
        <v>4</v>
      </c>
      <c r="C9" s="123">
        <f>data!C12</f>
        <v>0</v>
      </c>
      <c r="D9" s="23"/>
      <c r="E9" s="131" t="e">
        <f>data!M6/TAN(data!E6)</f>
        <v>#DIV/0!</v>
      </c>
    </row>
    <row r="10" spans="2:14">
      <c r="B10">
        <f>data!B13</f>
        <v>5</v>
      </c>
      <c r="C10" s="23">
        <f>data!C13</f>
        <v>0</v>
      </c>
      <c r="D10" s="23"/>
      <c r="E10" s="131" t="e">
        <f>data!N6/TAN(data!G6)</f>
        <v>#DIV/0!</v>
      </c>
      <c r="F10" s="123"/>
      <c r="G10" s="123"/>
    </row>
    <row r="11" spans="2:14">
      <c r="B11">
        <f>data!B14</f>
        <v>6</v>
      </c>
      <c r="C11" s="23">
        <f>data!C14</f>
        <v>0</v>
      </c>
      <c r="D11" s="23">
        <f>data!L6-data!M6-data!N6</f>
        <v>0</v>
      </c>
      <c r="E11" s="131" t="e">
        <f>'data 2'!D11/TAN(data!E6)</f>
        <v>#DIV/0!</v>
      </c>
    </row>
    <row r="12" spans="2:14">
      <c r="B12">
        <f>data!B15</f>
        <v>7</v>
      </c>
      <c r="C12" s="23">
        <f>data!C15</f>
        <v>0</v>
      </c>
      <c r="D12" s="23"/>
      <c r="E12" s="23"/>
    </row>
    <row r="15" spans="2:14">
      <c r="B15" s="4" t="s">
        <v>5</v>
      </c>
      <c r="C15" s="6">
        <f>B3</f>
        <v>0</v>
      </c>
      <c r="D15" s="19"/>
      <c r="E15" s="4" t="s">
        <v>148</v>
      </c>
      <c r="F15" s="19">
        <f>C3</f>
        <v>0</v>
      </c>
      <c r="G15" s="7"/>
      <c r="H15" s="4" t="s">
        <v>6</v>
      </c>
      <c r="I15" s="6">
        <f>D3</f>
        <v>0</v>
      </c>
      <c r="K15" s="4" t="s">
        <v>7</v>
      </c>
      <c r="L15" s="5">
        <f>2*D3</f>
        <v>0</v>
      </c>
    </row>
    <row r="16" spans="2:14">
      <c r="B16" s="8" t="s">
        <v>8</v>
      </c>
      <c r="C16" s="125">
        <f>$E$3*(TAN(B3/2)-SIN(B3/2))</f>
        <v>0</v>
      </c>
      <c r="D16" s="7"/>
      <c r="E16" s="8" t="s">
        <v>128</v>
      </c>
      <c r="F16" s="9">
        <f>$F$3*(TAN(C$3/2)-SIN(C$3/2))</f>
        <v>0</v>
      </c>
      <c r="G16" s="7"/>
      <c r="H16" s="8" t="s">
        <v>9</v>
      </c>
      <c r="I16" s="9">
        <f>$H$3*(TAN(D3/2)-SIN(D3/2))</f>
        <v>0</v>
      </c>
      <c r="K16" s="8" t="s">
        <v>10</v>
      </c>
      <c r="L16" s="9">
        <f>$J$3*(TAN(L15/2)-SIN(L15/2))</f>
        <v>0</v>
      </c>
    </row>
    <row r="17" spans="1:14">
      <c r="B17" s="10" t="s">
        <v>11</v>
      </c>
      <c r="C17" s="11">
        <f>$E$3*SIN(B3/2)</f>
        <v>0</v>
      </c>
      <c r="D17" s="7"/>
      <c r="E17" s="10" t="s">
        <v>129</v>
      </c>
      <c r="F17" s="11">
        <f>$F$3*SIN(C$3/2)</f>
        <v>0</v>
      </c>
      <c r="G17" s="7"/>
      <c r="H17" s="10" t="s">
        <v>12</v>
      </c>
      <c r="I17" s="11">
        <f>$H$3*SIN(D3/2)</f>
        <v>0</v>
      </c>
      <c r="K17" s="10" t="s">
        <v>13</v>
      </c>
      <c r="L17" s="11">
        <f>$J$3*SIN(L15/2)</f>
        <v>0</v>
      </c>
    </row>
    <row r="18" spans="1:14">
      <c r="B18" s="12" t="s">
        <v>14</v>
      </c>
      <c r="C18" s="13">
        <f>E5-C16</f>
        <v>0</v>
      </c>
      <c r="D18" s="7"/>
      <c r="E18" s="12" t="s">
        <v>14</v>
      </c>
      <c r="F18" s="13">
        <f>H5-F16</f>
        <v>0</v>
      </c>
      <c r="G18" s="7"/>
      <c r="H18" s="12" t="s">
        <v>14</v>
      </c>
      <c r="I18" s="13">
        <f>L5-I16</f>
        <v>0</v>
      </c>
      <c r="J18" s="14"/>
      <c r="K18" s="12" t="s">
        <v>14</v>
      </c>
      <c r="L18" s="13">
        <f>N7-L16</f>
        <v>0</v>
      </c>
    </row>
    <row r="19" spans="1:14">
      <c r="B19" s="12" t="s">
        <v>15</v>
      </c>
      <c r="C19" s="13"/>
      <c r="D19" s="7"/>
      <c r="E19" s="8" t="s">
        <v>130</v>
      </c>
      <c r="F19" s="9">
        <f>$G$3*(TAN(C$3/2)-SIN(C$3/2))</f>
        <v>0</v>
      </c>
      <c r="G19" s="7"/>
      <c r="H19" s="12" t="s">
        <v>15</v>
      </c>
      <c r="I19" s="13">
        <f>K11-I16</f>
        <v>0</v>
      </c>
      <c r="J19" s="14"/>
      <c r="K19" s="12" t="s">
        <v>15</v>
      </c>
      <c r="L19" s="13">
        <f>N11-L16</f>
        <v>0</v>
      </c>
    </row>
    <row r="20" spans="1:14">
      <c r="B20" s="12" t="s">
        <v>16</v>
      </c>
      <c r="C20" s="13"/>
      <c r="D20" s="7"/>
      <c r="E20" s="10" t="s">
        <v>131</v>
      </c>
      <c r="F20" s="11">
        <f>$G$3*SIN(C$3/2)</f>
        <v>0</v>
      </c>
      <c r="G20" s="7"/>
      <c r="H20" s="12" t="s">
        <v>16</v>
      </c>
      <c r="I20" s="13">
        <f>(((K7+K8+K10)^2+J13^2)^0.5-2*I16)</f>
        <v>0</v>
      </c>
      <c r="J20" s="14"/>
      <c r="K20" s="12" t="s">
        <v>16</v>
      </c>
      <c r="L20" s="13">
        <f>(((N8+N9+N10)^2+M13^2)^0.5-2*L16)</f>
        <v>0</v>
      </c>
    </row>
    <row r="21" spans="1:14">
      <c r="B21" s="12" t="s">
        <v>17</v>
      </c>
      <c r="C21" s="15">
        <f>C18-C17</f>
        <v>0</v>
      </c>
      <c r="D21" s="7"/>
      <c r="E21" s="18" t="s">
        <v>132</v>
      </c>
      <c r="F21" s="11">
        <f>$G$3*C$3</f>
        <v>0</v>
      </c>
      <c r="G21" s="7"/>
      <c r="H21" s="12" t="s">
        <v>17</v>
      </c>
      <c r="I21" s="15">
        <f>I18-I17</f>
        <v>0</v>
      </c>
      <c r="J21" s="14"/>
      <c r="K21" s="12" t="s">
        <v>17</v>
      </c>
      <c r="L21" s="15">
        <f>L18-L17</f>
        <v>0</v>
      </c>
    </row>
    <row r="22" spans="1:14">
      <c r="B22" s="12" t="s">
        <v>18</v>
      </c>
      <c r="C22" s="16"/>
      <c r="D22" s="7"/>
      <c r="E22" s="18" t="s">
        <v>133</v>
      </c>
      <c r="F22" s="11" t="e">
        <f>$G$3*(1-SIN(C$3)/C$3)</f>
        <v>#DIV/0!</v>
      </c>
      <c r="G22" s="7"/>
      <c r="H22" s="12" t="s">
        <v>18</v>
      </c>
      <c r="I22" s="16">
        <f>I19-I17</f>
        <v>0</v>
      </c>
      <c r="J22" s="14"/>
      <c r="K22" s="12" t="s">
        <v>18</v>
      </c>
      <c r="L22" s="16">
        <f>L19-L17</f>
        <v>0</v>
      </c>
    </row>
    <row r="23" spans="1:14">
      <c r="B23" s="17" t="s">
        <v>19</v>
      </c>
      <c r="C23" s="15"/>
      <c r="D23" s="7"/>
      <c r="E23" s="17" t="s">
        <v>19</v>
      </c>
      <c r="F23" s="15"/>
      <c r="G23" s="7"/>
      <c r="H23" s="17" t="s">
        <v>19</v>
      </c>
      <c r="I23" s="15"/>
      <c r="J23" s="14"/>
      <c r="K23" s="17" t="s">
        <v>19</v>
      </c>
      <c r="L23" s="15"/>
    </row>
    <row r="24" spans="1:14">
      <c r="B24" s="18" t="s">
        <v>20</v>
      </c>
      <c r="C24" s="11">
        <f>$E$3*B3</f>
        <v>0</v>
      </c>
      <c r="D24" s="7"/>
      <c r="E24" s="18" t="s">
        <v>134</v>
      </c>
      <c r="F24" s="11">
        <f>$F$3*C$3</f>
        <v>0</v>
      </c>
      <c r="G24" s="7"/>
      <c r="H24" s="18" t="s">
        <v>21</v>
      </c>
      <c r="I24" s="11">
        <f>$H$3*D3</f>
        <v>0</v>
      </c>
      <c r="K24" s="18" t="s">
        <v>22</v>
      </c>
      <c r="L24" s="11">
        <f>$J$3*L15</f>
        <v>0</v>
      </c>
    </row>
    <row r="25" spans="1:14">
      <c r="B25" s="18" t="s">
        <v>23</v>
      </c>
      <c r="C25" s="11" t="e">
        <f>$E$3*(1-SIN(B3)/B3)</f>
        <v>#DIV/0!</v>
      </c>
      <c r="D25" s="7"/>
      <c r="E25" s="18" t="s">
        <v>135</v>
      </c>
      <c r="F25" s="11" t="e">
        <f>$F$3*(1-SIN(C$3)/C$3)</f>
        <v>#DIV/0!</v>
      </c>
      <c r="G25" s="7"/>
      <c r="H25" s="18" t="s">
        <v>24</v>
      </c>
      <c r="I25" s="11" t="e">
        <f>$H$3*(1-SIN(D3)/D3)</f>
        <v>#DIV/0!</v>
      </c>
      <c r="K25" s="18" t="s">
        <v>25</v>
      </c>
      <c r="L25" s="11" t="e">
        <f>$J$3*(1-SIN(L15)/L15)</f>
        <v>#DIV/0!</v>
      </c>
    </row>
    <row r="27" spans="1:14" ht="17">
      <c r="B27" s="1" t="s">
        <v>4</v>
      </c>
      <c r="C27" s="1" t="s">
        <v>26</v>
      </c>
      <c r="D27" s="1" t="s">
        <v>27</v>
      </c>
      <c r="E27" s="1" t="s">
        <v>28</v>
      </c>
      <c r="F27" s="20"/>
      <c r="G27" s="20"/>
      <c r="H27" s="29" t="s">
        <v>4</v>
      </c>
      <c r="I27" s="29" t="s">
        <v>29</v>
      </c>
      <c r="J27" s="29" t="s">
        <v>30</v>
      </c>
      <c r="K27" s="29" t="s">
        <v>31</v>
      </c>
      <c r="L27" s="29" t="s">
        <v>32</v>
      </c>
      <c r="M27" s="30" t="s">
        <v>33</v>
      </c>
      <c r="N27" s="29" t="s">
        <v>34</v>
      </c>
    </row>
    <row r="28" spans="1:14">
      <c r="B28" s="1">
        <v>1</v>
      </c>
      <c r="C28" s="2">
        <f>IF((C6-C17)&gt;0,(C6-C17),0)</f>
        <v>0</v>
      </c>
      <c r="D28" s="1"/>
      <c r="E28" s="1"/>
      <c r="F28" s="20"/>
      <c r="G28" s="20"/>
      <c r="H28" s="29">
        <v>1</v>
      </c>
      <c r="I28" s="33">
        <f t="shared" ref="I28:I33" si="0">C28*$I$4</f>
        <v>0</v>
      </c>
      <c r="J28" s="31">
        <f>K3-data!O6</f>
        <v>0</v>
      </c>
      <c r="K28" s="33">
        <f>I28*J28</f>
        <v>0</v>
      </c>
      <c r="L28" s="33" t="e">
        <f>L$43-J28</f>
        <v>#DIV/0!</v>
      </c>
      <c r="M28" s="30">
        <f>I4</f>
        <v>0</v>
      </c>
      <c r="N28" s="31" t="e">
        <f>I28*M28^2/12+I28*L28^2</f>
        <v>#DIV/0!</v>
      </c>
    </row>
    <row r="29" spans="1:14">
      <c r="A29" s="23">
        <v>0.59081384319937069</v>
      </c>
      <c r="B29" s="1">
        <v>2</v>
      </c>
      <c r="C29" s="26">
        <f>C24</f>
        <v>0</v>
      </c>
      <c r="D29" s="2"/>
      <c r="E29" s="2"/>
      <c r="F29" s="6"/>
      <c r="G29" s="6"/>
      <c r="H29" s="39">
        <v>2</v>
      </c>
      <c r="I29" s="33">
        <f t="shared" si="0"/>
        <v>0</v>
      </c>
      <c r="J29" s="41" t="e">
        <f>K3-data!O6+C25</f>
        <v>#DIV/0!</v>
      </c>
      <c r="K29" s="40" t="e">
        <f>I29*J29</f>
        <v>#DIV/0!</v>
      </c>
      <c r="L29" s="40" t="e">
        <f t="shared" ref="L29:L39" si="1">L$43-J29</f>
        <v>#DIV/0!</v>
      </c>
      <c r="M29" s="42"/>
      <c r="N29" s="41" t="e">
        <f>$I$4*$E$3^3*(($B$3+SIN($B$3)*COS($B$3))/2-SIN($B$3)^2/$B$3)+I29*L29^2</f>
        <v>#DIV/0!</v>
      </c>
    </row>
    <row r="30" spans="1:14">
      <c r="A30" s="23">
        <v>15.338291548474187</v>
      </c>
      <c r="B30" s="1">
        <v>3</v>
      </c>
      <c r="C30" s="26">
        <f>C7-2*C17</f>
        <v>0</v>
      </c>
      <c r="D30" s="2"/>
      <c r="E30" s="2"/>
      <c r="F30" s="6"/>
      <c r="G30" s="43" t="s">
        <v>35</v>
      </c>
      <c r="H30" s="29">
        <v>3</v>
      </c>
      <c r="I30" s="33">
        <f t="shared" si="0"/>
        <v>0</v>
      </c>
      <c r="J30" s="35">
        <f>K3-data!O6/2</f>
        <v>0</v>
      </c>
      <c r="K30" s="33">
        <f t="shared" ref="K30:K36" si="2">I30*J30</f>
        <v>0</v>
      </c>
      <c r="L30" s="33" t="e">
        <f t="shared" si="1"/>
        <v>#DIV/0!</v>
      </c>
      <c r="M30" s="34">
        <f>C30*SIN(B3)</f>
        <v>0</v>
      </c>
      <c r="N30" s="31" t="e">
        <f>I30*M30^2/12+I30*L30^2</f>
        <v>#DIV/0!</v>
      </c>
    </row>
    <row r="31" spans="1:14">
      <c r="A31" s="23">
        <v>1.1816276863987414</v>
      </c>
      <c r="B31" s="1">
        <v>4</v>
      </c>
      <c r="C31" s="27">
        <f>C24</f>
        <v>0</v>
      </c>
      <c r="D31" s="2"/>
      <c r="E31" s="2"/>
      <c r="F31" s="6"/>
      <c r="G31" s="6"/>
      <c r="H31" s="39">
        <v>4</v>
      </c>
      <c r="I31" s="33">
        <f t="shared" si="0"/>
        <v>0</v>
      </c>
      <c r="J31" s="41" t="e">
        <f>K3-C25</f>
        <v>#DIV/0!</v>
      </c>
      <c r="K31" s="40" t="e">
        <f t="shared" si="2"/>
        <v>#DIV/0!</v>
      </c>
      <c r="L31" s="40" t="e">
        <f t="shared" si="1"/>
        <v>#DIV/0!</v>
      </c>
      <c r="M31" s="42"/>
      <c r="N31" s="41" t="e">
        <f>$I$4*$E$3^3*(($B$3+SIN($B$3)*COS($B$3))/2-SIN($B$3)^2/$B$3)+I31*L31^2</f>
        <v>#DIV/0!</v>
      </c>
    </row>
    <row r="32" spans="1:14">
      <c r="A32" s="23">
        <v>20.407975066095581</v>
      </c>
      <c r="B32" s="1">
        <v>5</v>
      </c>
      <c r="C32" s="26">
        <f>C8-C17-F17</f>
        <v>0</v>
      </c>
      <c r="D32" s="2"/>
      <c r="E32" s="2"/>
      <c r="F32" s="6"/>
      <c r="G32" s="6"/>
      <c r="H32" s="29">
        <v>5</v>
      </c>
      <c r="I32" s="33">
        <f t="shared" si="0"/>
        <v>0</v>
      </c>
      <c r="J32" s="32">
        <f>K3</f>
        <v>0</v>
      </c>
      <c r="K32" s="33">
        <f t="shared" si="2"/>
        <v>0</v>
      </c>
      <c r="L32" s="33" t="e">
        <f t="shared" si="1"/>
        <v>#DIV/0!</v>
      </c>
      <c r="M32" s="36">
        <f>I4</f>
        <v>0</v>
      </c>
      <c r="N32" s="31" t="e">
        <f>I32*M32^2/12+I32*L32^2</f>
        <v>#DIV/0!</v>
      </c>
    </row>
    <row r="33" spans="1:15">
      <c r="A33" s="23">
        <v>4.1163582504575187</v>
      </c>
      <c r="B33" s="1">
        <v>6</v>
      </c>
      <c r="C33" s="26">
        <f>F24</f>
        <v>0</v>
      </c>
      <c r="D33" s="2"/>
      <c r="E33" s="2"/>
      <c r="F33" s="6"/>
      <c r="G33" s="6"/>
      <c r="H33" s="39">
        <v>6</v>
      </c>
      <c r="I33" s="33">
        <f t="shared" si="0"/>
        <v>0</v>
      </c>
      <c r="J33" s="41" t="e">
        <f>K3-F25</f>
        <v>#DIV/0!</v>
      </c>
      <c r="K33" s="40" t="e">
        <f t="shared" si="2"/>
        <v>#DIV/0!</v>
      </c>
      <c r="L33" s="40" t="e">
        <f t="shared" si="1"/>
        <v>#DIV/0!</v>
      </c>
      <c r="M33" s="42"/>
      <c r="N33" s="41" t="e">
        <f>$I$4*$F$3^3*(($C$3+SIN($C$3)*COS($C$3))/2-SIN($C$3)^2/$C$3)+I33*L33^2</f>
        <v>#DIV/0!</v>
      </c>
    </row>
    <row r="34" spans="1:15">
      <c r="A34" s="23">
        <v>77.72861276595745</v>
      </c>
      <c r="B34" s="1">
        <v>7</v>
      </c>
      <c r="C34" s="26">
        <f>C9-F17-I17</f>
        <v>0</v>
      </c>
      <c r="D34" s="2"/>
      <c r="E34" s="2"/>
      <c r="F34" s="6"/>
      <c r="G34" s="6"/>
      <c r="H34" s="29">
        <v>7</v>
      </c>
      <c r="I34" s="108" t="e">
        <f>C34*$I$3</f>
        <v>#DIV/0!</v>
      </c>
      <c r="J34" s="35">
        <f>K3-data!M6/2</f>
        <v>0</v>
      </c>
      <c r="K34" s="33" t="e">
        <f t="shared" si="2"/>
        <v>#DIV/0!</v>
      </c>
      <c r="L34" s="33" t="e">
        <f t="shared" si="1"/>
        <v>#DIV/0!</v>
      </c>
      <c r="M34" s="34">
        <f>C34*SIN(C3)</f>
        <v>0</v>
      </c>
      <c r="N34" s="31" t="e">
        <f>I34*M34^2/12+I34*L34^2</f>
        <v>#DIV/0!</v>
      </c>
    </row>
    <row r="35" spans="1:15">
      <c r="A35" s="23">
        <v>4.1163582504575187</v>
      </c>
      <c r="B35" s="1">
        <v>8</v>
      </c>
      <c r="C35" s="26">
        <f>I24</f>
        <v>0</v>
      </c>
      <c r="D35" s="2"/>
      <c r="E35" s="2"/>
      <c r="F35" s="6"/>
      <c r="G35" s="6"/>
      <c r="H35" s="39">
        <v>8</v>
      </c>
      <c r="I35" s="108" t="e">
        <f t="shared" ref="I35:I37" si="3">C35*$I$3</f>
        <v>#DIV/0!</v>
      </c>
      <c r="J35" s="40">
        <f>D11+data!N6</f>
        <v>0</v>
      </c>
      <c r="K35" s="44" t="e">
        <f>I35*J35</f>
        <v>#DIV/0!</v>
      </c>
      <c r="L35" s="40" t="e">
        <f t="shared" si="1"/>
        <v>#DIV/0!</v>
      </c>
      <c r="M35" s="42"/>
      <c r="N35" s="41" t="e">
        <f>$I$3*$H$3^3*(($D$3+SIN($D$3)*COS($D$3))/2-SIN($D$3)^2/$D$3)+I35*L35^2</f>
        <v>#DIV/0!</v>
      </c>
    </row>
    <row r="36" spans="1:15">
      <c r="A36" s="23">
        <v>13.171612757637124</v>
      </c>
      <c r="B36" s="1">
        <v>9</v>
      </c>
      <c r="C36" s="26">
        <f>C10-2*I17</f>
        <v>0</v>
      </c>
      <c r="D36" s="2"/>
      <c r="E36" s="2"/>
      <c r="F36" s="6"/>
      <c r="G36" s="6"/>
      <c r="H36" s="29">
        <v>9</v>
      </c>
      <c r="I36" s="108" t="e">
        <f t="shared" si="3"/>
        <v>#DIV/0!</v>
      </c>
      <c r="J36" s="35">
        <f>D11+data!N6/2</f>
        <v>0</v>
      </c>
      <c r="K36" s="33" t="e">
        <f t="shared" si="2"/>
        <v>#DIV/0!</v>
      </c>
      <c r="L36" s="33" t="e">
        <f t="shared" si="1"/>
        <v>#DIV/0!</v>
      </c>
      <c r="M36" s="34">
        <f>C36*SIN(D3)</f>
        <v>0</v>
      </c>
      <c r="N36" s="32" t="e">
        <f>I36*M36^2/12+I36*L36^2</f>
        <v>#DIV/0!</v>
      </c>
    </row>
    <row r="37" spans="1:15">
      <c r="A37" s="23"/>
      <c r="B37" s="1">
        <v>10</v>
      </c>
      <c r="C37" s="26">
        <f>I24</f>
        <v>0</v>
      </c>
      <c r="D37" s="2"/>
      <c r="E37" s="2"/>
      <c r="F37" s="6"/>
      <c r="G37" s="6"/>
      <c r="H37" s="39">
        <v>10</v>
      </c>
      <c r="I37" s="108" t="e">
        <f t="shared" si="3"/>
        <v>#DIV/0!</v>
      </c>
      <c r="J37" s="41">
        <f>D11</f>
        <v>0</v>
      </c>
      <c r="K37" s="40" t="e">
        <f>I37*J37</f>
        <v>#DIV/0!</v>
      </c>
      <c r="L37" s="40" t="e">
        <f t="shared" si="1"/>
        <v>#DIV/0!</v>
      </c>
      <c r="M37" s="42"/>
      <c r="N37" s="41" t="e">
        <f>$I$3*$H$3^3*(($D$3+SIN($D$3)*COS($D$3))/2-SIN($D$3)^2/$D$3)+I37*L37^2</f>
        <v>#DIV/0!</v>
      </c>
    </row>
    <row r="38" spans="1:15">
      <c r="A38" s="23">
        <v>5.0487622245457349</v>
      </c>
      <c r="B38" s="1">
        <v>11</v>
      </c>
      <c r="C38" s="26">
        <f>C11-I17-F20</f>
        <v>0</v>
      </c>
      <c r="D38" s="2"/>
      <c r="E38" s="2"/>
      <c r="F38" s="6"/>
      <c r="G38" s="6"/>
      <c r="H38" s="29">
        <v>11</v>
      </c>
      <c r="I38" s="108" t="e">
        <f>C38*$I$3</f>
        <v>#DIV/0!</v>
      </c>
      <c r="J38" s="37">
        <f>D11/2</f>
        <v>0</v>
      </c>
      <c r="K38" s="33" t="e">
        <f>I38*J38</f>
        <v>#DIV/0!</v>
      </c>
      <c r="L38" s="33" t="e">
        <f t="shared" si="1"/>
        <v>#DIV/0!</v>
      </c>
      <c r="M38" s="34">
        <f>C38*SIN(C3)</f>
        <v>0</v>
      </c>
      <c r="N38" s="32" t="e">
        <f>I38*M38^2/12+I38*L38^2</f>
        <v>#DIV/0!</v>
      </c>
    </row>
    <row r="39" spans="1:15">
      <c r="A39" s="23"/>
      <c r="B39" s="1">
        <v>12</v>
      </c>
      <c r="C39" s="26">
        <f>F21</f>
        <v>0</v>
      </c>
      <c r="D39" s="2"/>
      <c r="E39" s="2"/>
      <c r="F39" s="6"/>
      <c r="G39" s="6"/>
      <c r="H39" s="39">
        <v>12</v>
      </c>
      <c r="I39" s="33">
        <f>C39*$I$4</f>
        <v>0</v>
      </c>
      <c r="J39" s="40" t="e">
        <f>F22</f>
        <v>#DIV/0!</v>
      </c>
      <c r="K39" s="40" t="e">
        <f>I39*J39</f>
        <v>#DIV/0!</v>
      </c>
      <c r="L39" s="40" t="e">
        <f t="shared" si="1"/>
        <v>#DIV/0!</v>
      </c>
      <c r="M39" s="42"/>
      <c r="N39" s="41" t="e">
        <f>$I$4*$G$3^3*(($C$3+SIN($C$3)*COS($C$3))/2-SIN($C$3)^2/$C$3)+I39*L39^2</f>
        <v>#DIV/0!</v>
      </c>
    </row>
    <row r="40" spans="1:15">
      <c r="A40" s="23">
        <v>6.5607588735685471</v>
      </c>
      <c r="B40" s="1">
        <v>13</v>
      </c>
      <c r="C40" s="26">
        <f>IF((C12-F20)&gt;0,(C12-F20),0)</f>
        <v>0</v>
      </c>
      <c r="D40" s="2"/>
      <c r="E40" s="2"/>
      <c r="F40" s="6"/>
      <c r="G40" s="6"/>
      <c r="H40" s="29">
        <v>13</v>
      </c>
      <c r="I40" s="33">
        <f>C40*$I$4</f>
        <v>0</v>
      </c>
      <c r="J40" s="35">
        <v>0</v>
      </c>
      <c r="K40" s="33">
        <f>I40*J40</f>
        <v>0</v>
      </c>
      <c r="L40" s="33" t="e">
        <f>L$43-J40</f>
        <v>#DIV/0!</v>
      </c>
      <c r="M40" s="34">
        <f>I4</f>
        <v>0</v>
      </c>
      <c r="N40" s="32" t="e">
        <f>I40*M40^2/12+I40*L40^2</f>
        <v>#DIV/0!</v>
      </c>
    </row>
    <row r="41" spans="1:15">
      <c r="B41" s="1"/>
      <c r="C41" s="24"/>
      <c r="D41" s="2"/>
      <c r="E41" s="2"/>
      <c r="F41" s="6"/>
      <c r="G41" s="6"/>
      <c r="H41" s="29"/>
      <c r="I41" s="38"/>
      <c r="J41" s="32"/>
      <c r="K41" s="33"/>
      <c r="L41" s="33"/>
      <c r="M41" s="34"/>
      <c r="N41" s="32"/>
    </row>
    <row r="42" spans="1:15">
      <c r="B42" s="1"/>
      <c r="C42" s="24"/>
      <c r="D42" s="2"/>
      <c r="E42" s="2"/>
      <c r="F42" s="6"/>
      <c r="G42" s="5"/>
      <c r="H42" s="29"/>
      <c r="I42" s="38"/>
      <c r="J42" s="32"/>
      <c r="K42" s="33"/>
      <c r="L42" s="33"/>
      <c r="M42" s="36"/>
      <c r="N42" s="31"/>
    </row>
    <row r="43" spans="1:15">
      <c r="B43" s="5"/>
      <c r="C43" s="23">
        <f>SUM(C29:C42)</f>
        <v>0</v>
      </c>
      <c r="D43" s="6"/>
      <c r="E43" s="6"/>
      <c r="F43" s="5"/>
      <c r="G43" s="5"/>
      <c r="I43" s="23" t="e">
        <f>SUM(I28:I42)</f>
        <v>#DIV/0!</v>
      </c>
      <c r="K43" s="23" t="e">
        <f>SUM(K28:K42)</f>
        <v>#DIV/0!</v>
      </c>
      <c r="L43" s="25" t="e">
        <f>K43/I43</f>
        <v>#DIV/0!</v>
      </c>
      <c r="N43" s="23" t="e">
        <f>SUM(N28:N42)</f>
        <v>#DIV/0!</v>
      </c>
    </row>
    <row r="44" spans="1:15">
      <c r="B44" s="18"/>
      <c r="C44" s="11">
        <f>C43*E1</f>
        <v>0</v>
      </c>
      <c r="D44" s="5"/>
      <c r="E44" s="5"/>
      <c r="F44" s="5"/>
      <c r="G44" s="5"/>
      <c r="I44" t="e">
        <f>I43*2/$J$3*1000</f>
        <v>#DIV/0!</v>
      </c>
      <c r="N44" t="e">
        <f>N43*2/$J$3*1000</f>
        <v>#DIV/0!</v>
      </c>
    </row>
    <row r="45" spans="1:15">
      <c r="B45" s="18"/>
      <c r="C45" s="11"/>
      <c r="D45" s="5"/>
      <c r="E45" s="5"/>
      <c r="F45" s="5"/>
      <c r="G45" s="5"/>
      <c r="I45" t="e">
        <f>I44/10000</f>
        <v>#DIV/0!</v>
      </c>
      <c r="L45">
        <v>52.348136085317854</v>
      </c>
      <c r="N45" t="e">
        <f>N44/10000</f>
        <v>#DIV/0!</v>
      </c>
    </row>
    <row r="47" spans="1:15" ht="17">
      <c r="H47" s="1" t="s">
        <v>4</v>
      </c>
      <c r="I47" s="21" t="s">
        <v>159</v>
      </c>
      <c r="J47" s="21" t="s">
        <v>29</v>
      </c>
      <c r="K47" s="21" t="s">
        <v>30</v>
      </c>
      <c r="L47" s="21" t="s">
        <v>31</v>
      </c>
      <c r="M47" s="21" t="s">
        <v>32</v>
      </c>
      <c r="N47" s="22" t="s">
        <v>33</v>
      </c>
      <c r="O47" s="21" t="s">
        <v>34</v>
      </c>
    </row>
    <row r="48" spans="1:15">
      <c r="H48" s="133">
        <v>1</v>
      </c>
      <c r="I48" s="134">
        <f>C28</f>
        <v>0</v>
      </c>
      <c r="J48" s="134">
        <f>I28</f>
        <v>0</v>
      </c>
      <c r="K48" s="134">
        <f>J28</f>
        <v>0</v>
      </c>
      <c r="L48" s="138">
        <f>J48*K48</f>
        <v>0</v>
      </c>
      <c r="M48" s="134" t="e">
        <f>L28</f>
        <v>#DIV/0!</v>
      </c>
      <c r="N48" s="134">
        <f>M28</f>
        <v>0</v>
      </c>
      <c r="O48" s="134" t="e">
        <f>N28</f>
        <v>#DIV/0!</v>
      </c>
    </row>
    <row r="49" spans="8:15" ht="17">
      <c r="H49" s="133" t="s">
        <v>161</v>
      </c>
      <c r="I49" s="134">
        <f t="shared" ref="I49" si="4">C29</f>
        <v>0</v>
      </c>
      <c r="J49" s="134">
        <f t="shared" ref="J49:K60" si="5">I29</f>
        <v>0</v>
      </c>
      <c r="K49" s="134" t="e">
        <f t="shared" si="5"/>
        <v>#DIV/0!</v>
      </c>
      <c r="L49" s="138" t="e">
        <f t="shared" ref="L49:L60" si="6">J49*K49</f>
        <v>#DIV/0!</v>
      </c>
      <c r="M49" s="134" t="e">
        <f t="shared" ref="M49:N60" si="7">L29</f>
        <v>#DIV/0!</v>
      </c>
      <c r="N49" s="134"/>
      <c r="O49" s="134" t="e">
        <f t="shared" ref="O49:O60" si="8">N29</f>
        <v>#DIV/0!</v>
      </c>
    </row>
    <row r="50" spans="8:15">
      <c r="H50" s="75">
        <v>2</v>
      </c>
      <c r="I50" s="134">
        <f t="shared" ref="I50" si="9">C30</f>
        <v>0</v>
      </c>
      <c r="J50" s="134">
        <f t="shared" si="5"/>
        <v>0</v>
      </c>
      <c r="K50" s="134">
        <f t="shared" si="5"/>
        <v>0</v>
      </c>
      <c r="L50" s="138">
        <f t="shared" si="6"/>
        <v>0</v>
      </c>
      <c r="M50" s="134" t="e">
        <f t="shared" si="7"/>
        <v>#DIV/0!</v>
      </c>
      <c r="N50" s="134">
        <f t="shared" si="7"/>
        <v>0</v>
      </c>
      <c r="O50" s="134" t="e">
        <f t="shared" si="8"/>
        <v>#DIV/0!</v>
      </c>
    </row>
    <row r="51" spans="8:15" ht="17">
      <c r="H51" s="133" t="s">
        <v>160</v>
      </c>
      <c r="I51" s="134">
        <f t="shared" ref="I51" si="10">C31</f>
        <v>0</v>
      </c>
      <c r="J51" s="134">
        <f t="shared" si="5"/>
        <v>0</v>
      </c>
      <c r="K51" s="134" t="e">
        <f t="shared" si="5"/>
        <v>#DIV/0!</v>
      </c>
      <c r="L51" s="138" t="e">
        <f t="shared" si="6"/>
        <v>#DIV/0!</v>
      </c>
      <c r="M51" s="134" t="e">
        <f t="shared" si="7"/>
        <v>#DIV/0!</v>
      </c>
      <c r="N51" s="134"/>
      <c r="O51" s="134" t="e">
        <f t="shared" si="8"/>
        <v>#DIV/0!</v>
      </c>
    </row>
    <row r="52" spans="8:15">
      <c r="H52" s="133">
        <v>3</v>
      </c>
      <c r="I52" s="134">
        <f t="shared" ref="I52" si="11">C32</f>
        <v>0</v>
      </c>
      <c r="J52" s="134">
        <f t="shared" si="5"/>
        <v>0</v>
      </c>
      <c r="K52" s="134">
        <f t="shared" si="5"/>
        <v>0</v>
      </c>
      <c r="L52" s="138">
        <f t="shared" si="6"/>
        <v>0</v>
      </c>
      <c r="M52" s="134" t="e">
        <f t="shared" si="7"/>
        <v>#DIV/0!</v>
      </c>
      <c r="N52" s="134">
        <f t="shared" si="7"/>
        <v>0</v>
      </c>
      <c r="O52" s="134" t="e">
        <f t="shared" si="8"/>
        <v>#DIV/0!</v>
      </c>
    </row>
    <row r="53" spans="8:15" ht="17">
      <c r="H53" s="133" t="s">
        <v>162</v>
      </c>
      <c r="I53" s="134">
        <f t="shared" ref="I53" si="12">C33</f>
        <v>0</v>
      </c>
      <c r="J53" s="134">
        <f t="shared" si="5"/>
        <v>0</v>
      </c>
      <c r="K53" s="134" t="e">
        <f t="shared" si="5"/>
        <v>#DIV/0!</v>
      </c>
      <c r="L53" s="138" t="e">
        <f t="shared" si="6"/>
        <v>#DIV/0!</v>
      </c>
      <c r="M53" s="134" t="e">
        <f t="shared" si="7"/>
        <v>#DIV/0!</v>
      </c>
      <c r="N53" s="134"/>
      <c r="O53" s="134" t="e">
        <f t="shared" si="8"/>
        <v>#DIV/0!</v>
      </c>
    </row>
    <row r="54" spans="8:15">
      <c r="H54" s="133">
        <v>4</v>
      </c>
      <c r="I54" s="134">
        <f t="shared" ref="I54" si="13">C34</f>
        <v>0</v>
      </c>
      <c r="J54" s="134" t="e">
        <f t="shared" si="5"/>
        <v>#DIV/0!</v>
      </c>
      <c r="K54" s="134">
        <f t="shared" si="5"/>
        <v>0</v>
      </c>
      <c r="L54" s="138" t="e">
        <f t="shared" si="6"/>
        <v>#DIV/0!</v>
      </c>
      <c r="M54" s="134" t="e">
        <f t="shared" si="7"/>
        <v>#DIV/0!</v>
      </c>
      <c r="N54" s="134">
        <f t="shared" si="7"/>
        <v>0</v>
      </c>
      <c r="O54" s="134" t="e">
        <f t="shared" si="8"/>
        <v>#DIV/0!</v>
      </c>
    </row>
    <row r="55" spans="8:15" ht="17">
      <c r="H55" s="133" t="s">
        <v>165</v>
      </c>
      <c r="I55" s="134">
        <f t="shared" ref="I55" si="14">C35</f>
        <v>0</v>
      </c>
      <c r="J55" s="134" t="e">
        <f t="shared" si="5"/>
        <v>#DIV/0!</v>
      </c>
      <c r="K55" s="134">
        <f t="shared" si="5"/>
        <v>0</v>
      </c>
      <c r="L55" s="138" t="e">
        <f t="shared" si="6"/>
        <v>#DIV/0!</v>
      </c>
      <c r="M55" s="134" t="e">
        <f t="shared" si="7"/>
        <v>#DIV/0!</v>
      </c>
      <c r="N55" s="134"/>
      <c r="O55" s="134" t="e">
        <f t="shared" si="8"/>
        <v>#DIV/0!</v>
      </c>
    </row>
    <row r="56" spans="8:15">
      <c r="H56" s="133">
        <v>5</v>
      </c>
      <c r="I56" s="134">
        <f t="shared" ref="I56" si="15">C36</f>
        <v>0</v>
      </c>
      <c r="J56" s="134" t="e">
        <f t="shared" si="5"/>
        <v>#DIV/0!</v>
      </c>
      <c r="K56" s="134">
        <f t="shared" si="5"/>
        <v>0</v>
      </c>
      <c r="L56" s="138" t="e">
        <f t="shared" si="6"/>
        <v>#DIV/0!</v>
      </c>
      <c r="M56" s="134" t="e">
        <f t="shared" si="7"/>
        <v>#DIV/0!</v>
      </c>
      <c r="N56" s="134">
        <f t="shared" si="7"/>
        <v>0</v>
      </c>
      <c r="O56" s="134" t="e">
        <f t="shared" si="8"/>
        <v>#DIV/0!</v>
      </c>
    </row>
    <row r="57" spans="8:15" ht="17">
      <c r="H57" s="133" t="s">
        <v>166</v>
      </c>
      <c r="I57" s="134">
        <f t="shared" ref="I57" si="16">C37</f>
        <v>0</v>
      </c>
      <c r="J57" s="134" t="e">
        <f t="shared" si="5"/>
        <v>#DIV/0!</v>
      </c>
      <c r="K57" s="134">
        <f t="shared" si="5"/>
        <v>0</v>
      </c>
      <c r="L57" s="138" t="e">
        <f t="shared" si="6"/>
        <v>#DIV/0!</v>
      </c>
      <c r="M57" s="134" t="e">
        <f t="shared" si="7"/>
        <v>#DIV/0!</v>
      </c>
      <c r="N57" s="134"/>
      <c r="O57" s="134" t="e">
        <f t="shared" si="8"/>
        <v>#DIV/0!</v>
      </c>
    </row>
    <row r="58" spans="8:15">
      <c r="H58" s="133">
        <v>6</v>
      </c>
      <c r="I58" s="134">
        <f t="shared" ref="I58" si="17">C38</f>
        <v>0</v>
      </c>
      <c r="J58" s="134" t="e">
        <f t="shared" si="5"/>
        <v>#DIV/0!</v>
      </c>
      <c r="K58" s="134">
        <f t="shared" si="5"/>
        <v>0</v>
      </c>
      <c r="L58" s="138" t="e">
        <f t="shared" si="6"/>
        <v>#DIV/0!</v>
      </c>
      <c r="M58" s="134" t="e">
        <f t="shared" si="7"/>
        <v>#DIV/0!</v>
      </c>
      <c r="N58" s="134">
        <f t="shared" si="7"/>
        <v>0</v>
      </c>
      <c r="O58" s="134" t="e">
        <f t="shared" si="8"/>
        <v>#DIV/0!</v>
      </c>
    </row>
    <row r="59" spans="8:15" ht="17">
      <c r="H59" s="133" t="s">
        <v>163</v>
      </c>
      <c r="I59" s="134">
        <f t="shared" ref="I59" si="18">C39</f>
        <v>0</v>
      </c>
      <c r="J59" s="134">
        <f t="shared" si="5"/>
        <v>0</v>
      </c>
      <c r="K59" s="134" t="e">
        <f t="shared" si="5"/>
        <v>#DIV/0!</v>
      </c>
      <c r="L59" s="138" t="e">
        <f t="shared" si="6"/>
        <v>#DIV/0!</v>
      </c>
      <c r="M59" s="134" t="e">
        <f t="shared" si="7"/>
        <v>#DIV/0!</v>
      </c>
      <c r="N59" s="134"/>
      <c r="O59" s="134" t="e">
        <f t="shared" si="8"/>
        <v>#DIV/0!</v>
      </c>
    </row>
    <row r="60" spans="8:15">
      <c r="H60" s="133">
        <v>7</v>
      </c>
      <c r="I60" s="134">
        <f t="shared" ref="I60" si="19">C40</f>
        <v>0</v>
      </c>
      <c r="J60" s="134">
        <f t="shared" si="5"/>
        <v>0</v>
      </c>
      <c r="K60" s="134">
        <f>J40</f>
        <v>0</v>
      </c>
      <c r="L60" s="138">
        <f t="shared" si="6"/>
        <v>0</v>
      </c>
      <c r="M60" s="134" t="e">
        <f t="shared" si="7"/>
        <v>#DIV/0!</v>
      </c>
      <c r="N60" s="134">
        <f t="shared" si="7"/>
        <v>0</v>
      </c>
      <c r="O60" s="134" t="e">
        <f t="shared" si="8"/>
        <v>#DIV/0!</v>
      </c>
    </row>
    <row r="61" spans="8:15">
      <c r="H61" s="89" t="s">
        <v>164</v>
      </c>
      <c r="J61" s="135" t="e">
        <f>SUM(J48:J60)</f>
        <v>#DIV/0!</v>
      </c>
      <c r="K61" s="136"/>
      <c r="L61" s="135" t="e">
        <f>SUM(L48:L60)</f>
        <v>#DIV/0!</v>
      </c>
      <c r="M61" s="137" t="e">
        <f>L61/J61</f>
        <v>#DIV/0!</v>
      </c>
      <c r="N61" s="135"/>
      <c r="O61" s="135" t="e">
        <f>SUM(O48:O60)</f>
        <v>#DIV/0!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zoomScale="125" zoomScaleNormal="125" zoomScalePageLayoutView="125" workbookViewId="0">
      <selection activeCell="I3" sqref="I3"/>
    </sheetView>
  </sheetViews>
  <sheetFormatPr baseColWidth="10" defaultRowHeight="15" x14ac:dyDescent="0"/>
  <sheetData>
    <row r="2" spans="1:10" ht="17">
      <c r="A2" t="s">
        <v>1</v>
      </c>
      <c r="B2" s="1" t="s">
        <v>1</v>
      </c>
      <c r="C2" s="1" t="s">
        <v>3</v>
      </c>
      <c r="D2" s="1" t="s">
        <v>2</v>
      </c>
    </row>
    <row r="3" spans="1:10">
      <c r="A3">
        <f>data!J6</f>
        <v>0</v>
      </c>
      <c r="B3" s="61" t="e">
        <f>moment!B3</f>
        <v>#DIV/0!</v>
      </c>
      <c r="C3" s="2">
        <f>data!Q6</f>
        <v>0</v>
      </c>
      <c r="D3" s="2">
        <f>data!P6</f>
        <v>0</v>
      </c>
    </row>
    <row r="8" spans="1:10" ht="17">
      <c r="B8" s="1" t="s">
        <v>4</v>
      </c>
      <c r="C8" s="21" t="s">
        <v>49</v>
      </c>
      <c r="D8" s="21" t="s">
        <v>76</v>
      </c>
      <c r="E8" s="21" t="s">
        <v>29</v>
      </c>
      <c r="F8" s="21" t="s">
        <v>30</v>
      </c>
      <c r="G8" s="21" t="s">
        <v>31</v>
      </c>
      <c r="H8" s="21" t="s">
        <v>32</v>
      </c>
      <c r="I8" s="22" t="s">
        <v>33</v>
      </c>
      <c r="J8" s="21" t="s">
        <v>34</v>
      </c>
    </row>
    <row r="9" spans="1:10">
      <c r="A9" s="80">
        <v>0</v>
      </c>
      <c r="B9" s="21">
        <v>1</v>
      </c>
      <c r="C9" s="28">
        <f>web!C11</f>
        <v>0</v>
      </c>
      <c r="D9" s="81" t="e">
        <f>'stiffner (3)'!C$40</f>
        <v>#DIV/0!</v>
      </c>
      <c r="E9" s="81" t="e">
        <f>C9*D9</f>
        <v>#DIV/0!</v>
      </c>
      <c r="F9" s="2">
        <f>'data 2'!J28</f>
        <v>0</v>
      </c>
      <c r="G9" s="1" t="e">
        <f>E9*F9</f>
        <v>#DIV/0!</v>
      </c>
      <c r="H9" s="2" t="e">
        <f t="shared" ref="H9:H23" si="0">$H$27-F9</f>
        <v>#DIV/0!</v>
      </c>
      <c r="I9" s="50">
        <f>'data 2'!M28</f>
        <v>0</v>
      </c>
      <c r="J9" s="31" t="e">
        <f>E9*I9^2/12+E9*H9^2</f>
        <v>#DIV/0!</v>
      </c>
    </row>
    <row r="10" spans="1:10">
      <c r="A10" s="80">
        <v>0.80870598857129861</v>
      </c>
      <c r="B10" s="21">
        <v>2</v>
      </c>
      <c r="C10" s="28">
        <f>web!C12</f>
        <v>0</v>
      </c>
      <c r="D10" s="81" t="e">
        <f>'stiffner (3)'!C$40</f>
        <v>#DIV/0!</v>
      </c>
      <c r="E10" s="81" t="e">
        <f t="shared" ref="E10:E13" si="1">C10*D10</f>
        <v>#DIV/0!</v>
      </c>
      <c r="F10" s="2" t="e">
        <f>'data 2'!J29</f>
        <v>#DIV/0!</v>
      </c>
      <c r="G10" s="1" t="e">
        <f t="shared" ref="G10:G23" si="2">E10*F10</f>
        <v>#DIV/0!</v>
      </c>
      <c r="H10" s="2" t="e">
        <f t="shared" si="0"/>
        <v>#DIV/0!</v>
      </c>
      <c r="I10" s="50"/>
      <c r="J10" s="41" t="e">
        <f>D10*'data 2'!E$3^3*(('data 2'!B$3+SIN('data 2'!B$3)*COS('data 2'!B$3))/2-SIN('data 2'!B$3)^2/'data 2'!B$3)+E10*H10^2</f>
        <v>#DIV/0!</v>
      </c>
    </row>
    <row r="11" spans="1:10">
      <c r="A11" s="80">
        <v>10.497526735775734</v>
      </c>
      <c r="B11" s="21">
        <v>3</v>
      </c>
      <c r="C11" s="28">
        <f>web!C13</f>
        <v>0</v>
      </c>
      <c r="D11" s="81" t="e">
        <f>'stiffner (3)'!C$40</f>
        <v>#DIV/0!</v>
      </c>
      <c r="E11" s="81" t="e">
        <f t="shared" si="1"/>
        <v>#DIV/0!</v>
      </c>
      <c r="F11" s="2">
        <f>'data 2'!J30</f>
        <v>0</v>
      </c>
      <c r="G11" s="1" t="e">
        <f t="shared" si="2"/>
        <v>#DIV/0!</v>
      </c>
      <c r="H11" s="2" t="e">
        <f t="shared" si="0"/>
        <v>#DIV/0!</v>
      </c>
      <c r="I11" s="50">
        <f>'data 2'!M30</f>
        <v>0</v>
      </c>
      <c r="J11" s="31" t="e">
        <f>E11*I11^2/12+E11*H11^2</f>
        <v>#DIV/0!</v>
      </c>
    </row>
    <row r="12" spans="1:10">
      <c r="A12" s="80">
        <v>0.80870598857129861</v>
      </c>
      <c r="B12" s="21">
        <v>4</v>
      </c>
      <c r="C12" s="28">
        <f>web!C14</f>
        <v>0</v>
      </c>
      <c r="D12" s="81" t="e">
        <f>'stiffner (3)'!C$40</f>
        <v>#DIV/0!</v>
      </c>
      <c r="E12" s="81" t="e">
        <f t="shared" si="1"/>
        <v>#DIV/0!</v>
      </c>
      <c r="F12" s="2" t="e">
        <f>'data 2'!J31</f>
        <v>#DIV/0!</v>
      </c>
      <c r="G12" s="1" t="e">
        <f t="shared" si="2"/>
        <v>#DIV/0!</v>
      </c>
      <c r="H12" s="2" t="e">
        <f t="shared" si="0"/>
        <v>#DIV/0!</v>
      </c>
      <c r="I12" s="50"/>
      <c r="J12" s="41" t="e">
        <f>D12*'data 2'!E$3^3*(('data 2'!B$3+SIN('data 2'!B$3)*COS('data 2'!B$3))/2-SIN('data 2'!B$3)^2/'data 2'!B$3)+E12*H12^2</f>
        <v>#DIV/0!</v>
      </c>
    </row>
    <row r="13" spans="1:10">
      <c r="B13" s="21">
        <v>51</v>
      </c>
      <c r="C13" s="28" t="e">
        <f>web!C15</f>
        <v>#DIV/0!</v>
      </c>
      <c r="D13" s="81" t="e">
        <f>'stiffner (3)'!C$40</f>
        <v>#DIV/0!</v>
      </c>
      <c r="E13" s="81" t="e">
        <f t="shared" si="1"/>
        <v>#DIV/0!</v>
      </c>
      <c r="F13" s="2">
        <f>'data 2'!J32</f>
        <v>0</v>
      </c>
      <c r="G13" s="1" t="e">
        <f t="shared" si="2"/>
        <v>#DIV/0!</v>
      </c>
      <c r="H13" s="2" t="e">
        <f t="shared" si="0"/>
        <v>#DIV/0!</v>
      </c>
      <c r="I13" s="50">
        <f>'data 2'!M32</f>
        <v>0</v>
      </c>
      <c r="J13" s="31" t="e">
        <f>E13*I13^2/12+E13*H13^2</f>
        <v>#DIV/0!</v>
      </c>
    </row>
    <row r="14" spans="1:10">
      <c r="B14" s="21">
        <v>52</v>
      </c>
      <c r="C14" s="28" t="e">
        <f>web!C16</f>
        <v>#DIV/0!</v>
      </c>
      <c r="D14" s="50">
        <f>A$3</f>
        <v>0</v>
      </c>
      <c r="E14" s="50" t="e">
        <f t="shared" ref="E14:E22" si="3">C14*D14</f>
        <v>#DIV/0!</v>
      </c>
      <c r="F14" s="2">
        <f>'data 2'!J32</f>
        <v>0</v>
      </c>
      <c r="G14" s="1" t="e">
        <f t="shared" si="2"/>
        <v>#DIV/0!</v>
      </c>
      <c r="H14" s="2" t="e">
        <f t="shared" si="0"/>
        <v>#DIV/0!</v>
      </c>
      <c r="I14" s="50">
        <f>'data 2'!M32</f>
        <v>0</v>
      </c>
      <c r="J14" s="31" t="e">
        <f>E14*I14^2/12+E14*H14^2</f>
        <v>#DIV/0!</v>
      </c>
    </row>
    <row r="15" spans="1:10">
      <c r="B15" s="21">
        <v>6</v>
      </c>
      <c r="C15" s="28">
        <f>web!C17</f>
        <v>0</v>
      </c>
      <c r="D15" s="50">
        <f>A$3</f>
        <v>0</v>
      </c>
      <c r="E15" s="50">
        <f t="shared" si="3"/>
        <v>0</v>
      </c>
      <c r="F15" s="2" t="e">
        <f>'data 2'!J33</f>
        <v>#DIV/0!</v>
      </c>
      <c r="G15" s="1" t="e">
        <f t="shared" si="2"/>
        <v>#DIV/0!</v>
      </c>
      <c r="H15" s="2" t="e">
        <f t="shared" si="0"/>
        <v>#DIV/0!</v>
      </c>
      <c r="I15" s="50"/>
      <c r="J15" s="41" t="e">
        <f>D15*'data 2'!E$3^3*(('data 2'!C$3+SIN('data 2'!C$3)*COS('data 2'!C$3))/2-SIN('data 2'!C$3)^2/'data 2'!C$3)+E15*H15^2</f>
        <v>#DIV/0!</v>
      </c>
    </row>
    <row r="16" spans="1:10">
      <c r="B16" s="21">
        <v>7</v>
      </c>
      <c r="C16" s="28">
        <f>web!C18</f>
        <v>0</v>
      </c>
      <c r="D16" s="109" t="e">
        <f>B$3</f>
        <v>#DIV/0!</v>
      </c>
      <c r="E16" s="50" t="e">
        <f t="shared" si="3"/>
        <v>#DIV/0!</v>
      </c>
      <c r="F16" s="2">
        <f>'data 2'!J34</f>
        <v>0</v>
      </c>
      <c r="G16" s="1" t="e">
        <f t="shared" si="2"/>
        <v>#DIV/0!</v>
      </c>
      <c r="H16" s="2" t="e">
        <f t="shared" si="0"/>
        <v>#DIV/0!</v>
      </c>
      <c r="I16" s="50">
        <f>'data 2'!M34</f>
        <v>0</v>
      </c>
      <c r="J16" s="31" t="e">
        <f>E16*I16^2/12+E16*H16^2</f>
        <v>#DIV/0!</v>
      </c>
    </row>
    <row r="17" spans="2:11">
      <c r="B17" s="29" t="s">
        <v>75</v>
      </c>
      <c r="C17" s="28" t="e">
        <f>'web (3)'!C19</f>
        <v>#DIV/0!</v>
      </c>
      <c r="D17" s="109" t="e">
        <f t="shared" ref="D17:D21" si="4">B$3</f>
        <v>#DIV/0!</v>
      </c>
      <c r="E17" s="50" t="e">
        <f t="shared" si="3"/>
        <v>#DIV/0!</v>
      </c>
      <c r="F17" s="2" t="e">
        <f>'moment (2)'!H27+('web (3)'!D6-'web (3)'!C19/2)*SIN(data!E6)</f>
        <v>#DIV/0!</v>
      </c>
      <c r="G17" s="1" t="e">
        <f t="shared" si="2"/>
        <v>#DIV/0!</v>
      </c>
      <c r="H17" s="2" t="e">
        <f t="shared" si="0"/>
        <v>#DIV/0!</v>
      </c>
      <c r="I17" s="86" t="e">
        <f>-C17*SIN(data!E6)</f>
        <v>#DIV/0!</v>
      </c>
      <c r="J17" s="31" t="e">
        <f>E17*I17^2/12+E17*H17^2</f>
        <v>#DIV/0!</v>
      </c>
    </row>
    <row r="18" spans="2:11">
      <c r="B18" s="21">
        <v>8</v>
      </c>
      <c r="C18" s="28">
        <f>web!C20</f>
        <v>0</v>
      </c>
      <c r="D18" s="109" t="e">
        <f t="shared" si="4"/>
        <v>#DIV/0!</v>
      </c>
      <c r="E18" s="50" t="e">
        <f t="shared" si="3"/>
        <v>#DIV/0!</v>
      </c>
      <c r="F18" s="2">
        <f>'data 2'!J35</f>
        <v>0</v>
      </c>
      <c r="G18" s="1" t="e">
        <f t="shared" si="2"/>
        <v>#DIV/0!</v>
      </c>
      <c r="H18" s="2" t="e">
        <f t="shared" si="0"/>
        <v>#DIV/0!</v>
      </c>
      <c r="I18" s="50"/>
      <c r="J18" s="41" t="e">
        <f>D18*'data 2'!E$3^3*(('data 2'!C$3+SIN('data 2'!C$3)*COS('data 2'!C$3))/2-SIN('data 2'!C$3)^2/'data 2'!C$3)+E18*H18^2</f>
        <v>#DIV/0!</v>
      </c>
    </row>
    <row r="19" spans="2:11">
      <c r="B19" s="21">
        <v>9</v>
      </c>
      <c r="C19" s="28">
        <f>web!C21</f>
        <v>0</v>
      </c>
      <c r="D19" s="109" t="e">
        <f t="shared" si="4"/>
        <v>#DIV/0!</v>
      </c>
      <c r="E19" s="50" t="e">
        <f t="shared" si="3"/>
        <v>#DIV/0!</v>
      </c>
      <c r="F19" s="2">
        <f>'data 2'!J36</f>
        <v>0</v>
      </c>
      <c r="G19" s="1" t="e">
        <f t="shared" si="2"/>
        <v>#DIV/0!</v>
      </c>
      <c r="H19" s="2" t="e">
        <f t="shared" si="0"/>
        <v>#DIV/0!</v>
      </c>
      <c r="I19" s="50">
        <f>'data 2'!M36</f>
        <v>0</v>
      </c>
      <c r="J19" s="31" t="e">
        <f>E19*I19^2/12+E19*H19^2</f>
        <v>#DIV/0!</v>
      </c>
    </row>
    <row r="20" spans="2:11">
      <c r="B20" s="21">
        <v>10</v>
      </c>
      <c r="C20" s="28">
        <f>web!C22</f>
        <v>0</v>
      </c>
      <c r="D20" s="109" t="e">
        <f t="shared" si="4"/>
        <v>#DIV/0!</v>
      </c>
      <c r="E20" s="50" t="e">
        <f t="shared" si="3"/>
        <v>#DIV/0!</v>
      </c>
      <c r="F20" s="2">
        <f>'data 2'!J37</f>
        <v>0</v>
      </c>
      <c r="G20" s="1" t="e">
        <f t="shared" si="2"/>
        <v>#DIV/0!</v>
      </c>
      <c r="H20" s="2" t="e">
        <f t="shared" si="0"/>
        <v>#DIV/0!</v>
      </c>
      <c r="I20" s="50"/>
      <c r="J20" s="41" t="e">
        <f>D20*'data 2'!E$3^3*(('data 2'!D$3+SIN('data 2'!D$3)*COS('data 2'!D$3))/2-SIN('data 2'!D$3)^2/'data 2'!D$3)+E20*H20^2</f>
        <v>#DIV/0!</v>
      </c>
    </row>
    <row r="21" spans="2:11">
      <c r="B21" s="21">
        <v>11</v>
      </c>
      <c r="C21" s="28">
        <f>web!C23</f>
        <v>0</v>
      </c>
      <c r="D21" s="109" t="e">
        <f t="shared" si="4"/>
        <v>#DIV/0!</v>
      </c>
      <c r="E21" s="50" t="e">
        <f t="shared" si="3"/>
        <v>#DIV/0!</v>
      </c>
      <c r="F21" s="2">
        <f>'data 2'!J38</f>
        <v>0</v>
      </c>
      <c r="G21" s="1" t="e">
        <f>E21*F21</f>
        <v>#DIV/0!</v>
      </c>
      <c r="H21" s="2" t="e">
        <f t="shared" si="0"/>
        <v>#DIV/0!</v>
      </c>
      <c r="I21" s="50">
        <f>'data 2'!M38</f>
        <v>0</v>
      </c>
      <c r="J21" s="31" t="e">
        <f>E21*I21^2/12+E21*H21^2</f>
        <v>#DIV/0!</v>
      </c>
    </row>
    <row r="22" spans="2:11">
      <c r="B22" s="21">
        <v>12</v>
      </c>
      <c r="C22" s="28">
        <f>web!C24</f>
        <v>0</v>
      </c>
      <c r="D22" s="50">
        <f>A$3</f>
        <v>0</v>
      </c>
      <c r="E22" s="50">
        <f t="shared" si="3"/>
        <v>0</v>
      </c>
      <c r="F22" s="2" t="e">
        <f>'data 2'!J39</f>
        <v>#DIV/0!</v>
      </c>
      <c r="G22" s="1" t="e">
        <f t="shared" si="2"/>
        <v>#DIV/0!</v>
      </c>
      <c r="H22" s="2" t="e">
        <f t="shared" si="0"/>
        <v>#DIV/0!</v>
      </c>
      <c r="I22" s="50"/>
      <c r="J22" s="41" t="e">
        <f>D22*'data 2'!E$3^3*(('data 2'!D$3+SIN('data 2'!D$3)*COS('data 2'!D$3))/2-SIN('data 2'!D$3)^2/'data 2'!D$3)+E22*H22^2</f>
        <v>#DIV/0!</v>
      </c>
    </row>
    <row r="23" spans="2:11">
      <c r="B23" s="21">
        <v>13</v>
      </c>
      <c r="C23" s="28">
        <f>web!C25</f>
        <v>0</v>
      </c>
      <c r="D23" s="50">
        <f>A$3</f>
        <v>0</v>
      </c>
      <c r="E23" s="50">
        <f>C23*D23</f>
        <v>0</v>
      </c>
      <c r="F23" s="2">
        <f>'data 2'!J40</f>
        <v>0</v>
      </c>
      <c r="G23" s="1">
        <f t="shared" si="2"/>
        <v>0</v>
      </c>
      <c r="H23" s="2" t="e">
        <f t="shared" si="0"/>
        <v>#DIV/0!</v>
      </c>
      <c r="I23" s="50">
        <f>'data 2'!M40</f>
        <v>0</v>
      </c>
      <c r="J23" s="31" t="e">
        <f>E23*I23^2/12+E23*H23^2</f>
        <v>#DIV/0!</v>
      </c>
    </row>
    <row r="24" spans="2:11">
      <c r="B24" s="21"/>
      <c r="C24" s="1"/>
      <c r="D24" s="1"/>
      <c r="E24" s="2"/>
      <c r="F24" s="1"/>
      <c r="G24" s="2"/>
      <c r="H24" s="2"/>
      <c r="I24" s="1"/>
      <c r="J24" s="26"/>
    </row>
    <row r="27" spans="2:11">
      <c r="B27" s="21" t="s">
        <v>52</v>
      </c>
      <c r="C27" s="5"/>
      <c r="D27" s="5"/>
      <c r="E27" s="2" t="e">
        <f>SUM(E9:E26)</f>
        <v>#DIV/0!</v>
      </c>
      <c r="G27" s="2" t="e">
        <f>SUM(G9:G26)</f>
        <v>#DIV/0!</v>
      </c>
      <c r="H27" s="2" t="e">
        <f>G27/E27</f>
        <v>#DIV/0!</v>
      </c>
      <c r="J27" s="26" t="e">
        <f>SUM(J9:J26)</f>
        <v>#DIV/0!</v>
      </c>
      <c r="K27" s="82" t="s">
        <v>77</v>
      </c>
    </row>
    <row r="28" spans="2:11">
      <c r="E28" s="5" t="e">
        <f>E27*2</f>
        <v>#DIV/0!</v>
      </c>
      <c r="G28" s="5"/>
      <c r="H28" s="6" t="e">
        <f>data!L6-'moment (3)'!H27</f>
        <v>#DIV/0!</v>
      </c>
      <c r="J28" s="5" t="e">
        <f>J27*2</f>
        <v>#DIV/0!</v>
      </c>
      <c r="K28" s="82" t="s">
        <v>78</v>
      </c>
    </row>
    <row r="29" spans="2:11">
      <c r="B29" s="5" t="s">
        <v>80</v>
      </c>
      <c r="C29" s="5" t="e">
        <f>J27/MAX(H27,H28)</f>
        <v>#DIV/0!</v>
      </c>
      <c r="D29" s="5" t="s">
        <v>77</v>
      </c>
      <c r="J29" s="5" t="e">
        <f>J28/data!K6</f>
        <v>#DIV/0!</v>
      </c>
      <c r="K29" s="82" t="s">
        <v>79</v>
      </c>
    </row>
    <row r="30" spans="2:11">
      <c r="B30" s="5" t="s">
        <v>80</v>
      </c>
      <c r="C30" s="5" t="e">
        <f>2*C29</f>
        <v>#DIV/0!</v>
      </c>
      <c r="D30" s="5" t="s">
        <v>78</v>
      </c>
    </row>
    <row r="31" spans="2:11">
      <c r="B31" s="5" t="s">
        <v>80</v>
      </c>
      <c r="C31" s="5" t="e">
        <f>C30/data!K6</f>
        <v>#DIV/0!</v>
      </c>
      <c r="D31" s="5" t="s">
        <v>81</v>
      </c>
    </row>
    <row r="32" spans="2:11">
      <c r="B32" s="5"/>
      <c r="C32" s="5"/>
      <c r="D32" s="5"/>
    </row>
    <row r="33" spans="2:5">
      <c r="B33" s="5" t="s">
        <v>82</v>
      </c>
      <c r="C33" s="5" t="s">
        <v>82</v>
      </c>
      <c r="D33" s="5"/>
    </row>
    <row r="34" spans="2:5">
      <c r="B34" s="83" t="e">
        <f>D3*C31*1</f>
        <v>#DIV/0!</v>
      </c>
      <c r="C34" s="83" t="s">
        <v>83</v>
      </c>
      <c r="D34" s="84"/>
    </row>
    <row r="35" spans="2:5">
      <c r="B35" s="85" t="e">
        <f>B34/1000</f>
        <v>#DIV/0!</v>
      </c>
      <c r="C35" t="s">
        <v>84</v>
      </c>
      <c r="E35" t="e">
        <f>(5.61-B35)/5.61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I3" sqref="I3"/>
    </sheetView>
  </sheetViews>
  <sheetFormatPr baseColWidth="10" defaultRowHeight="15" x14ac:dyDescent="0"/>
  <cols>
    <col min="2" max="2" width="5" customWidth="1"/>
    <col min="3" max="3" width="5.83203125" customWidth="1"/>
    <col min="6" max="6" width="5.6640625" customWidth="1"/>
    <col min="7" max="7" width="9.1640625" customWidth="1"/>
    <col min="8" max="8" width="7" customWidth="1"/>
    <col min="9" max="9" width="5.33203125" customWidth="1"/>
    <col min="10" max="10" width="7.83203125" customWidth="1"/>
    <col min="11" max="11" width="7.1640625" customWidth="1"/>
    <col min="12" max="12" width="6.6640625" customWidth="1"/>
    <col min="13" max="13" width="6.5" customWidth="1"/>
    <col min="14" max="14" width="8.1640625" customWidth="1"/>
    <col min="15" max="15" width="7.1640625" customWidth="1"/>
  </cols>
  <sheetData>
    <row r="2" spans="2: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7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45" t="s">
        <v>38</v>
      </c>
      <c r="H4" s="46" t="s">
        <v>39</v>
      </c>
      <c r="I4" s="1" t="s">
        <v>40</v>
      </c>
      <c r="J4" s="47" t="s">
        <v>41</v>
      </c>
      <c r="K4" s="48" t="s">
        <v>42</v>
      </c>
      <c r="L4" s="1" t="s">
        <v>43</v>
      </c>
      <c r="M4" s="1" t="s">
        <v>44</v>
      </c>
      <c r="N4" s="3" t="s">
        <v>45</v>
      </c>
      <c r="O4" s="3" t="s">
        <v>46</v>
      </c>
    </row>
    <row r="5" spans="2:15">
      <c r="B5" s="2">
        <f>'data 2'!C8</f>
        <v>0</v>
      </c>
      <c r="C5" s="2">
        <f>flange!C5</f>
        <v>0</v>
      </c>
      <c r="D5" s="49">
        <f>'data 2'!L3</f>
        <v>0</v>
      </c>
      <c r="E5" s="2">
        <f>'data 2'!M3</f>
        <v>0</v>
      </c>
      <c r="F5" s="2">
        <v>4</v>
      </c>
      <c r="G5" s="2">
        <v>1</v>
      </c>
      <c r="H5" s="2" t="e">
        <f>(235/D5)^0.5</f>
        <v>#DIV/0!</v>
      </c>
      <c r="I5" s="50" t="e">
        <f>B5/C5/28.4/H5/(F5)^0.5</f>
        <v>#DIV/0!</v>
      </c>
      <c r="J5" s="50" t="e">
        <f>MIN(D5,D5*('data 2'!K3-'moment (3)'!H27)/'moment (3)'!H27)</f>
        <v>#DIV/0!</v>
      </c>
      <c r="K5" s="50">
        <v>1</v>
      </c>
      <c r="L5" s="50" t="e">
        <f>I5*SQRT(J5/D5/K5)</f>
        <v>#DIV/0!</v>
      </c>
      <c r="M5" s="50" t="e">
        <f>MIN(IF(L5&gt;0.673,(L5-0.055*(3+G5))/L5^2+0.18*(I5-L5)/(I5-0.6),1),1)</f>
        <v>#DIV/0!</v>
      </c>
      <c r="N5" s="2" t="e">
        <f>M5*B5</f>
        <v>#DIV/0!</v>
      </c>
      <c r="O5" s="51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14" workbookViewId="0">
      <selection activeCell="I3" sqref="I3"/>
    </sheetView>
  </sheetViews>
  <sheetFormatPr baseColWidth="10" defaultRowHeight="15" x14ac:dyDescent="0"/>
  <cols>
    <col min="9" max="9" width="14.6640625" bestFit="1" customWidth="1"/>
  </cols>
  <sheetData>
    <row r="2" spans="2:9" ht="17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5"/>
      <c r="H2" s="5"/>
      <c r="I2" s="5"/>
    </row>
    <row r="3" spans="2:9">
      <c r="B3" s="2">
        <f>('data 2'!C28+'data 2'!C29+'data 2'!C30+'data 2'!C31/2)*2</f>
        <v>0</v>
      </c>
      <c r="C3" s="2">
        <f>flange!B5</f>
        <v>0</v>
      </c>
      <c r="D3" s="2">
        <f>flange!C5</f>
        <v>0</v>
      </c>
      <c r="E3" s="2">
        <f>'data 2'!M3</f>
        <v>0</v>
      </c>
      <c r="F3" s="49">
        <f>data!P6</f>
        <v>0</v>
      </c>
      <c r="G3" s="5"/>
      <c r="H3" s="5"/>
      <c r="I3" s="5"/>
    </row>
    <row r="4" spans="2:9">
      <c r="B4" s="5"/>
      <c r="C4" s="5"/>
      <c r="D4" s="5"/>
      <c r="E4" s="5"/>
      <c r="F4" s="5"/>
      <c r="G4" s="5"/>
      <c r="H4" s="5"/>
      <c r="I4" s="5"/>
    </row>
    <row r="5" spans="2:9" ht="17">
      <c r="B5" s="21" t="s">
        <v>48</v>
      </c>
      <c r="C5" s="21" t="s">
        <v>49</v>
      </c>
      <c r="D5" s="21" t="s">
        <v>29</v>
      </c>
      <c r="E5" s="21" t="s">
        <v>30</v>
      </c>
      <c r="F5" s="21" t="s">
        <v>31</v>
      </c>
      <c r="G5" s="21" t="s">
        <v>32</v>
      </c>
      <c r="H5" s="21" t="s">
        <v>33</v>
      </c>
      <c r="I5" s="21" t="s">
        <v>34</v>
      </c>
    </row>
    <row r="6" spans="2:9">
      <c r="B6" s="21" t="s">
        <v>50</v>
      </c>
      <c r="C6" s="28">
        <f>15*D$3-'data 2'!C17</f>
        <v>0</v>
      </c>
      <c r="D6" s="28">
        <f>C6*$D$3</f>
        <v>0</v>
      </c>
      <c r="E6" s="28">
        <v>0</v>
      </c>
      <c r="F6" s="28">
        <f>D6*E6</f>
        <v>0</v>
      </c>
      <c r="G6" s="52" t="e">
        <f>$G$15-E6</f>
        <v>#DIV/0!</v>
      </c>
      <c r="H6" s="52">
        <f>D3</f>
        <v>0</v>
      </c>
      <c r="I6" s="71" t="e">
        <f>D6*H6^2/12+D6*G6^2</f>
        <v>#DIV/0!</v>
      </c>
    </row>
    <row r="7" spans="2:9">
      <c r="B7" s="65">
        <v>2</v>
      </c>
      <c r="C7" s="66">
        <f>'data 2'!C31</f>
        <v>0</v>
      </c>
      <c r="D7" s="66">
        <f t="shared" ref="D7:D14" si="0">C7*$D$3</f>
        <v>0</v>
      </c>
      <c r="E7" s="66" t="e">
        <f>'data 2'!C25</f>
        <v>#DIV/0!</v>
      </c>
      <c r="F7" s="66" t="e">
        <f t="shared" ref="F7:F14" si="1">D7*E7</f>
        <v>#DIV/0!</v>
      </c>
      <c r="G7" s="67" t="e">
        <f t="shared" ref="G7:G14" si="2">$G$15-E7</f>
        <v>#DIV/0!</v>
      </c>
      <c r="H7" s="67"/>
      <c r="I7" s="72" t="e">
        <f>$D$3*'data 2'!E$3^3*(('data 2'!B$3+SIN('data 2'!B$3)*COS('data 2'!B$3))/2-SIN('data 2'!B$3)^2/'data 2'!B$3)+D7*G7^2</f>
        <v>#DIV/0!</v>
      </c>
    </row>
    <row r="8" spans="2:9">
      <c r="B8" s="22">
        <v>3</v>
      </c>
      <c r="C8" s="69">
        <f>'data 2'!C30</f>
        <v>0</v>
      </c>
      <c r="D8" s="69">
        <f t="shared" si="0"/>
        <v>0</v>
      </c>
      <c r="E8" s="54">
        <f>data!O6/2</f>
        <v>0</v>
      </c>
      <c r="F8" s="69">
        <f t="shared" si="1"/>
        <v>0</v>
      </c>
      <c r="G8" s="70" t="e">
        <f t="shared" si="2"/>
        <v>#DIV/0!</v>
      </c>
      <c r="H8" s="70">
        <f>'data 2'!M30</f>
        <v>0</v>
      </c>
      <c r="I8" s="73" t="e">
        <f>D8*H8^2/12+D8*G8^2</f>
        <v>#DIV/0!</v>
      </c>
    </row>
    <row r="9" spans="2:9">
      <c r="B9" s="65">
        <v>4</v>
      </c>
      <c r="C9" s="66">
        <f>'data 2'!C29</f>
        <v>0</v>
      </c>
      <c r="D9" s="66">
        <f t="shared" si="0"/>
        <v>0</v>
      </c>
      <c r="E9" s="68" t="e">
        <f>data!O6-'data 2'!C25</f>
        <v>#DIV/0!</v>
      </c>
      <c r="F9" s="66" t="e">
        <f t="shared" si="1"/>
        <v>#DIV/0!</v>
      </c>
      <c r="G9" s="67" t="e">
        <f t="shared" si="2"/>
        <v>#DIV/0!</v>
      </c>
      <c r="H9" s="67"/>
      <c r="I9" s="72" t="e">
        <f>$D$3*'data 2'!E$3^3*(('data 2'!B$3+SIN('data 2'!B$3)*COS('data 2'!B$3))/2-SIN('data 2'!B$3)^2/'data 2'!B$3)+D9*G9^2</f>
        <v>#DIV/0!</v>
      </c>
    </row>
    <row r="10" spans="2:9">
      <c r="B10" s="21">
        <v>5</v>
      </c>
      <c r="C10" s="28">
        <f>'data 2'!C28*2</f>
        <v>0</v>
      </c>
      <c r="D10" s="28">
        <f t="shared" si="0"/>
        <v>0</v>
      </c>
      <c r="E10" s="54">
        <f>data!O6</f>
        <v>0</v>
      </c>
      <c r="F10" s="28">
        <f t="shared" si="1"/>
        <v>0</v>
      </c>
      <c r="G10" s="52" t="e">
        <f t="shared" si="2"/>
        <v>#DIV/0!</v>
      </c>
      <c r="H10" s="52">
        <f>D3</f>
        <v>0</v>
      </c>
      <c r="I10" s="71" t="e">
        <f>D10*H10^2/12+D10*G10^2</f>
        <v>#DIV/0!</v>
      </c>
    </row>
    <row r="11" spans="2:9">
      <c r="B11" s="65">
        <v>6</v>
      </c>
      <c r="C11" s="66">
        <f>'data 2'!C29</f>
        <v>0</v>
      </c>
      <c r="D11" s="66">
        <f t="shared" si="0"/>
        <v>0</v>
      </c>
      <c r="E11" s="68" t="e">
        <f>E9</f>
        <v>#DIV/0!</v>
      </c>
      <c r="F11" s="66" t="e">
        <f t="shared" si="1"/>
        <v>#DIV/0!</v>
      </c>
      <c r="G11" s="67" t="e">
        <f t="shared" si="2"/>
        <v>#DIV/0!</v>
      </c>
      <c r="H11" s="67"/>
      <c r="I11" s="72" t="e">
        <f>I9</f>
        <v>#DIV/0!</v>
      </c>
    </row>
    <row r="12" spans="2:9">
      <c r="B12" s="21">
        <v>7</v>
      </c>
      <c r="C12" s="69">
        <f>'data 2'!C30</f>
        <v>0</v>
      </c>
      <c r="D12" s="28">
        <f t="shared" si="0"/>
        <v>0</v>
      </c>
      <c r="E12" s="55">
        <f>E8</f>
        <v>0</v>
      </c>
      <c r="F12" s="28">
        <f t="shared" si="1"/>
        <v>0</v>
      </c>
      <c r="G12" s="52" t="e">
        <f t="shared" si="2"/>
        <v>#DIV/0!</v>
      </c>
      <c r="H12" s="52">
        <f>H8</f>
        <v>0</v>
      </c>
      <c r="I12" s="71" t="e">
        <f>D12*H12^2/12+D12*G12^2</f>
        <v>#DIV/0!</v>
      </c>
    </row>
    <row r="13" spans="2:9">
      <c r="B13" s="65">
        <v>8</v>
      </c>
      <c r="C13" s="66">
        <f>'data 2'!C31</f>
        <v>0</v>
      </c>
      <c r="D13" s="66">
        <f t="shared" si="0"/>
        <v>0</v>
      </c>
      <c r="E13" s="68" t="e">
        <f>E7</f>
        <v>#DIV/0!</v>
      </c>
      <c r="F13" s="66" t="e">
        <f t="shared" si="1"/>
        <v>#DIV/0!</v>
      </c>
      <c r="G13" s="67" t="e">
        <f t="shared" si="2"/>
        <v>#DIV/0!</v>
      </c>
      <c r="H13" s="67"/>
      <c r="I13" s="72" t="e">
        <f>$D$3*'data 2'!E$3^3*(('data 2'!B$3+SIN('data 2'!B$3)*COS('data 2'!B$3))/2-SIN('data 2'!B$3)^2/'data 2'!B$3)+D13*G13^2</f>
        <v>#DIV/0!</v>
      </c>
    </row>
    <row r="14" spans="2:9">
      <c r="B14" s="21" t="s">
        <v>51</v>
      </c>
      <c r="C14" s="28">
        <f>C6</f>
        <v>0</v>
      </c>
      <c r="D14" s="28">
        <f t="shared" si="0"/>
        <v>0</v>
      </c>
      <c r="E14" s="28">
        <f>E6</f>
        <v>0</v>
      </c>
      <c r="F14" s="28">
        <f t="shared" si="1"/>
        <v>0</v>
      </c>
      <c r="G14" s="52" t="e">
        <f t="shared" si="2"/>
        <v>#DIV/0!</v>
      </c>
      <c r="H14" s="52">
        <f>H6</f>
        <v>0</v>
      </c>
      <c r="I14" s="71" t="e">
        <f>D14*H14^2/12+D14*G14^2</f>
        <v>#DIV/0!</v>
      </c>
    </row>
    <row r="15" spans="2:9">
      <c r="B15" s="56" t="s">
        <v>52</v>
      </c>
      <c r="C15" s="55"/>
      <c r="D15" s="57">
        <f>SUM(D6:D14)</f>
        <v>0</v>
      </c>
      <c r="E15" s="58"/>
      <c r="F15" s="28" t="e">
        <f>SUM(F6:F14)</f>
        <v>#DIV/0!</v>
      </c>
      <c r="G15" s="58" t="e">
        <f>F15/D15</f>
        <v>#DIV/0!</v>
      </c>
      <c r="H15" s="58"/>
      <c r="I15" s="71" t="e">
        <f>SUM(I6:I14)</f>
        <v>#DIV/0!</v>
      </c>
    </row>
    <row r="16" spans="2:9">
      <c r="B16" s="59"/>
      <c r="C16" s="59"/>
      <c r="D16" s="59"/>
      <c r="E16" s="59"/>
      <c r="F16" s="59"/>
      <c r="G16" s="59"/>
      <c r="H16" s="60"/>
      <c r="I16" s="60"/>
    </row>
    <row r="17" spans="2:9" ht="17">
      <c r="B17" s="21" t="s">
        <v>48</v>
      </c>
      <c r="C17" s="21" t="s">
        <v>49</v>
      </c>
      <c r="D17" s="21" t="s">
        <v>29</v>
      </c>
      <c r="E17" s="21"/>
      <c r="F17" s="21"/>
      <c r="G17" s="21"/>
      <c r="H17" s="21"/>
      <c r="I17" s="21"/>
    </row>
    <row r="18" spans="2:9">
      <c r="B18" s="21" t="s">
        <v>50</v>
      </c>
      <c r="C18" s="87" t="e">
        <f>'flange (4)'!O5-'data 2'!C17</f>
        <v>#DIV/0!</v>
      </c>
      <c r="D18" s="28" t="e">
        <f>C18*$D$3</f>
        <v>#DIV/0!</v>
      </c>
      <c r="E18" s="28"/>
      <c r="F18" s="28"/>
      <c r="G18" s="52"/>
      <c r="H18" s="52"/>
      <c r="I18" s="26"/>
    </row>
    <row r="19" spans="2:9">
      <c r="B19" s="21">
        <v>2</v>
      </c>
      <c r="C19" s="28">
        <f>C7</f>
        <v>0</v>
      </c>
      <c r="D19" s="28">
        <f t="shared" ref="D19:D26" si="3">C19*$D$3</f>
        <v>0</v>
      </c>
      <c r="E19" s="28"/>
      <c r="F19" s="28"/>
      <c r="G19" s="52"/>
      <c r="H19" s="52"/>
      <c r="I19" s="53"/>
    </row>
    <row r="20" spans="2:9">
      <c r="B20" s="21">
        <v>3</v>
      </c>
      <c r="C20" s="28">
        <f t="shared" ref="C20:C25" si="4">C8</f>
        <v>0</v>
      </c>
      <c r="D20" s="28">
        <f t="shared" si="3"/>
        <v>0</v>
      </c>
      <c r="E20" s="54"/>
      <c r="F20" s="28"/>
      <c r="G20" s="52"/>
      <c r="H20" s="52"/>
      <c r="I20" s="2"/>
    </row>
    <row r="21" spans="2:9">
      <c r="B21" s="21">
        <v>4</v>
      </c>
      <c r="C21" s="28">
        <f t="shared" si="4"/>
        <v>0</v>
      </c>
      <c r="D21" s="28">
        <f t="shared" si="3"/>
        <v>0</v>
      </c>
      <c r="E21" s="55"/>
      <c r="F21" s="28"/>
      <c r="G21" s="52"/>
      <c r="H21" s="52"/>
      <c r="I21" s="53"/>
    </row>
    <row r="22" spans="2:9">
      <c r="B22" s="21">
        <v>5</v>
      </c>
      <c r="C22" s="28">
        <f t="shared" si="4"/>
        <v>0</v>
      </c>
      <c r="D22" s="28">
        <f t="shared" si="3"/>
        <v>0</v>
      </c>
      <c r="E22" s="54"/>
      <c r="F22" s="28"/>
      <c r="G22" s="52"/>
      <c r="H22" s="52"/>
      <c r="I22" s="2"/>
    </row>
    <row r="23" spans="2:9">
      <c r="B23" s="21">
        <v>6</v>
      </c>
      <c r="C23" s="28">
        <f t="shared" si="4"/>
        <v>0</v>
      </c>
      <c r="D23" s="28">
        <f t="shared" si="3"/>
        <v>0</v>
      </c>
      <c r="E23" s="55"/>
      <c r="F23" s="28"/>
      <c r="G23" s="52"/>
      <c r="H23" s="52"/>
      <c r="I23" s="53"/>
    </row>
    <row r="24" spans="2:9">
      <c r="B24" s="21">
        <v>7</v>
      </c>
      <c r="C24" s="28">
        <f t="shared" si="4"/>
        <v>0</v>
      </c>
      <c r="D24" s="28">
        <f>C24*$D$3</f>
        <v>0</v>
      </c>
      <c r="E24" s="55"/>
      <c r="F24" s="28"/>
      <c r="G24" s="52"/>
      <c r="H24" s="52"/>
      <c r="I24" s="53"/>
    </row>
    <row r="25" spans="2:9">
      <c r="B25" s="21">
        <v>8</v>
      </c>
      <c r="C25" s="28">
        <f t="shared" si="4"/>
        <v>0</v>
      </c>
      <c r="D25" s="28">
        <f t="shared" si="3"/>
        <v>0</v>
      </c>
      <c r="E25" s="55"/>
      <c r="F25" s="28"/>
      <c r="G25" s="52"/>
      <c r="H25" s="52"/>
      <c r="I25" s="53"/>
    </row>
    <row r="26" spans="2:9">
      <c r="B26" s="21" t="s">
        <v>51</v>
      </c>
      <c r="C26" s="28" t="e">
        <f>C18</f>
        <v>#DIV/0!</v>
      </c>
      <c r="D26" s="28" t="e">
        <f t="shared" si="3"/>
        <v>#DIV/0!</v>
      </c>
      <c r="E26" s="28"/>
      <c r="F26" s="28"/>
      <c r="G26" s="52"/>
      <c r="H26" s="52"/>
      <c r="I26" s="61"/>
    </row>
    <row r="27" spans="2:9">
      <c r="B27" s="56" t="s">
        <v>52</v>
      </c>
      <c r="C27" s="55"/>
      <c r="D27" s="57" t="e">
        <f>SUM(D18:D26)</f>
        <v>#DIV/0!</v>
      </c>
      <c r="E27" s="58"/>
      <c r="F27" s="28"/>
      <c r="G27" s="58"/>
      <c r="H27" s="58"/>
      <c r="I27" s="2"/>
    </row>
    <row r="28" spans="2:9">
      <c r="B28" s="59"/>
      <c r="C28" s="59"/>
      <c r="D28" s="59"/>
      <c r="E28" s="59"/>
      <c r="F28" s="59"/>
      <c r="G28" s="59"/>
      <c r="H28" s="60"/>
      <c r="I28" s="60"/>
    </row>
    <row r="29" spans="2:9">
      <c r="B29" s="59"/>
      <c r="C29" s="59"/>
      <c r="D29" s="59"/>
      <c r="E29" s="59"/>
      <c r="F29" s="59"/>
      <c r="G29" s="59"/>
      <c r="H29" s="60"/>
      <c r="I29" s="60"/>
    </row>
    <row r="30" spans="2:9" ht="17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>
      <c r="B31" s="2">
        <f>2*C3+B3</f>
        <v>0</v>
      </c>
      <c r="C31" s="2"/>
      <c r="D31" s="2">
        <f>'data 2'!K3</f>
        <v>0</v>
      </c>
      <c r="E31" s="2" t="e">
        <f>'data 2'!N3</f>
        <v>#DIV/0!</v>
      </c>
      <c r="F31" s="2" t="e">
        <f>3.07*(I15*C3^2*(2*C3+3*B3)/D3^3)^0.25</f>
        <v>#DIV/0!</v>
      </c>
      <c r="G31" s="2" t="e">
        <f>F31/E31</f>
        <v>#DIV/0!</v>
      </c>
      <c r="H31" s="2" t="e">
        <f>((E31+2*B31)/(E31+0.5*B31))^0.5</f>
        <v>#DIV/0!</v>
      </c>
      <c r="I31" s="62" t="e">
        <f>IF(G31&gt;2,H31,(H31-(H31-1)*(2*F31/E31-(F31/E31)^2)))</f>
        <v>#DIV/0!</v>
      </c>
    </row>
    <row r="32" spans="2:9">
      <c r="B32" s="5"/>
      <c r="C32" s="5"/>
      <c r="D32" s="5"/>
      <c r="E32" s="5"/>
      <c r="F32" s="5"/>
      <c r="G32" s="5"/>
      <c r="H32" s="5"/>
      <c r="I32" s="5"/>
    </row>
    <row r="33" spans="2:9" ht="17">
      <c r="B33" s="1" t="s">
        <v>60</v>
      </c>
      <c r="C33" s="5"/>
      <c r="D33" s="5"/>
      <c r="E33" s="5"/>
      <c r="F33" s="5"/>
      <c r="G33" s="5"/>
      <c r="H33" s="5"/>
      <c r="I33" s="5"/>
    </row>
    <row r="34" spans="2:9">
      <c r="B34" s="2" t="e">
        <f>4.2*I31*E3/D27*(I15*D3^3/4/C3^2/(2*C3+3*B3))^0.5</f>
        <v>#DIV/0!</v>
      </c>
      <c r="C34" s="5"/>
      <c r="D34" s="5"/>
      <c r="E34" s="5"/>
      <c r="F34" s="5"/>
      <c r="G34" s="5"/>
      <c r="H34" s="5"/>
      <c r="I34" s="5"/>
    </row>
    <row r="36" spans="2:9" ht="17">
      <c r="B36" s="1" t="s">
        <v>2</v>
      </c>
      <c r="C36" s="1" t="s">
        <v>61</v>
      </c>
      <c r="D36" s="1" t="s">
        <v>62</v>
      </c>
      <c r="E36" s="1" t="s">
        <v>63</v>
      </c>
    </row>
    <row r="37" spans="2:9">
      <c r="B37" s="53">
        <f>'data 2'!L3</f>
        <v>0</v>
      </c>
      <c r="C37" s="50" t="e">
        <f>(B37/B34)^0.5</f>
        <v>#DIV/0!</v>
      </c>
      <c r="D37" s="75" t="e">
        <f>IF(C37&lt;0.65,1,(1.47-0.723*C37))</f>
        <v>#DIV/0!</v>
      </c>
      <c r="E37" s="75" t="e">
        <f>IF(C37&gt;1.38,0.66/C37,D37)</f>
        <v>#DIV/0!</v>
      </c>
    </row>
    <row r="39" spans="2:9" ht="17">
      <c r="B39" s="2" t="s">
        <v>64</v>
      </c>
      <c r="C39" s="21" t="s">
        <v>65</v>
      </c>
      <c r="E39" t="s">
        <v>66</v>
      </c>
    </row>
    <row r="40" spans="2:9">
      <c r="B40" s="63" t="e">
        <f>E37</f>
        <v>#DIV/0!</v>
      </c>
      <c r="C40" s="28" t="e">
        <f>B40*D3*B37/'flange (4)'!J5/'flange (4)'!K5</f>
        <v>#DIV/0!</v>
      </c>
      <c r="E40" s="23" t="e">
        <f>B37/'flange (4)'!K5/'flange (4)'!J5</f>
        <v>#DIV/0!</v>
      </c>
      <c r="G40" s="64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topLeftCell="A13" workbookViewId="0">
      <selection activeCell="I3" sqref="I3"/>
    </sheetView>
  </sheetViews>
  <sheetFormatPr baseColWidth="10" defaultRowHeight="15" x14ac:dyDescent="0"/>
  <cols>
    <col min="2" max="2" width="5" customWidth="1"/>
    <col min="3" max="3" width="5.83203125" customWidth="1"/>
    <col min="6" max="6" width="5.6640625" customWidth="1"/>
    <col min="7" max="7" width="9.1640625" customWidth="1"/>
    <col min="8" max="8" width="7" customWidth="1"/>
    <col min="9" max="9" width="5.33203125" customWidth="1"/>
    <col min="10" max="10" width="7.83203125" customWidth="1"/>
    <col min="11" max="11" width="7.1640625" customWidth="1"/>
    <col min="12" max="12" width="6.6640625" customWidth="1"/>
    <col min="13" max="13" width="6.5" customWidth="1"/>
    <col min="14" max="14" width="8.1640625" customWidth="1"/>
    <col min="15" max="15" width="7.1640625" customWidth="1"/>
  </cols>
  <sheetData>
    <row r="2" spans="2:15">
      <c r="B2" s="5" t="s">
        <v>67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7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45" t="s">
        <v>38</v>
      </c>
      <c r="H4" s="46" t="s">
        <v>39</v>
      </c>
      <c r="I4" s="1" t="s">
        <v>40</v>
      </c>
      <c r="J4" s="47" t="s">
        <v>41</v>
      </c>
      <c r="K4" s="48" t="s">
        <v>42</v>
      </c>
      <c r="L4" s="1" t="s">
        <v>43</v>
      </c>
      <c r="M4" s="1" t="s">
        <v>44</v>
      </c>
      <c r="N4" s="3" t="s">
        <v>45</v>
      </c>
      <c r="O4" s="3" t="s">
        <v>46</v>
      </c>
    </row>
    <row r="5" spans="2:15">
      <c r="B5" s="2">
        <f>flange!B5</f>
        <v>0</v>
      </c>
      <c r="C5" s="2">
        <f>flange!C5</f>
        <v>0</v>
      </c>
      <c r="D5" s="2">
        <f>flange!D5</f>
        <v>0</v>
      </c>
      <c r="E5" s="2">
        <f>flange!E5</f>
        <v>0</v>
      </c>
      <c r="F5" s="2">
        <v>4</v>
      </c>
      <c r="G5" s="2">
        <v>1</v>
      </c>
      <c r="H5" s="2" t="e">
        <f>(235/D5)^0.5</f>
        <v>#DIV/0!</v>
      </c>
      <c r="I5" s="50" t="e">
        <f>B5/C5/28.4/H5/(F5)^0.5</f>
        <v>#DIV/0!</v>
      </c>
      <c r="J5" s="50" t="e">
        <f>D5*'stiffner (4)'!B40</f>
        <v>#DIV/0!</v>
      </c>
      <c r="K5" s="50">
        <v>1</v>
      </c>
      <c r="L5" s="50" t="e">
        <f>I5*SQRT(J5/D5/K5)</f>
        <v>#DIV/0!</v>
      </c>
      <c r="M5" s="50" t="e">
        <f>MIN(IF(L5&gt;0.673,(L5-0.055*(3+G5))/L5^2+0.18*(I5-L5)/(I5-0.6),1),1)</f>
        <v>#DIV/0!</v>
      </c>
      <c r="N5" s="2" t="e">
        <f>M5*B5</f>
        <v>#DIV/0!</v>
      </c>
      <c r="O5" s="51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topLeftCell="A23" workbookViewId="0">
      <selection activeCell="I3" sqref="I3"/>
    </sheetView>
  </sheetViews>
  <sheetFormatPr baseColWidth="10" defaultRowHeight="15" x14ac:dyDescent="0"/>
  <cols>
    <col min="9" max="9" width="14.6640625" bestFit="1" customWidth="1"/>
  </cols>
  <sheetData>
    <row r="2" spans="2:11" ht="17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5"/>
      <c r="H2" s="5"/>
      <c r="I2" s="5"/>
      <c r="K2" s="47" t="s">
        <v>41</v>
      </c>
    </row>
    <row r="3" spans="2:11">
      <c r="B3" s="2">
        <f>stiffner!B3</f>
        <v>0</v>
      </c>
      <c r="C3" s="2">
        <f>stiffner!C3</f>
        <v>0</v>
      </c>
      <c r="D3" s="2">
        <f>stiffner!D3</f>
        <v>0</v>
      </c>
      <c r="E3" s="2">
        <f>stiffner!E3</f>
        <v>0</v>
      </c>
      <c r="F3" s="49">
        <f>data!P6</f>
        <v>0</v>
      </c>
      <c r="G3" s="5"/>
      <c r="H3" s="5"/>
      <c r="I3" s="5"/>
      <c r="K3" s="50" t="e">
        <f>F3*((data!L6-stiffner!G15-'moment (2)'!H27)/'moment (2)'!H27)</f>
        <v>#DIV/0!</v>
      </c>
    </row>
    <row r="4" spans="2:11">
      <c r="B4" s="5"/>
      <c r="C4" s="5"/>
      <c r="D4" s="5"/>
      <c r="E4" s="5"/>
      <c r="F4" s="5"/>
      <c r="G4" s="5"/>
      <c r="H4" s="5"/>
      <c r="I4" s="5"/>
    </row>
    <row r="5" spans="2:11" ht="17">
      <c r="B5" s="21" t="s">
        <v>48</v>
      </c>
      <c r="C5" s="21" t="s">
        <v>49</v>
      </c>
      <c r="D5" s="21" t="s">
        <v>29</v>
      </c>
      <c r="E5" s="21" t="s">
        <v>30</v>
      </c>
      <c r="F5" s="21" t="s">
        <v>31</v>
      </c>
      <c r="G5" s="21" t="s">
        <v>32</v>
      </c>
      <c r="H5" s="21" t="s">
        <v>33</v>
      </c>
      <c r="I5" s="21" t="s">
        <v>34</v>
      </c>
    </row>
    <row r="6" spans="2:11">
      <c r="B6" s="21" t="s">
        <v>50</v>
      </c>
      <c r="C6" s="31">
        <f>stiffner!C6</f>
        <v>0</v>
      </c>
      <c r="D6" s="28">
        <f>C6*$D$3</f>
        <v>0</v>
      </c>
      <c r="E6" s="31">
        <f>stiffner!E6</f>
        <v>0</v>
      </c>
      <c r="F6" s="28">
        <f>D6*E6</f>
        <v>0</v>
      </c>
      <c r="G6" s="52" t="e">
        <f>$G$15-E6</f>
        <v>#DIV/0!</v>
      </c>
      <c r="H6" s="31">
        <f>stiffner!H6</f>
        <v>0</v>
      </c>
      <c r="I6" s="31" t="e">
        <f>stiffner!I6</f>
        <v>#DIV/0!</v>
      </c>
    </row>
    <row r="7" spans="2:11">
      <c r="B7" s="65">
        <v>2</v>
      </c>
      <c r="C7" s="76">
        <f>stiffner!C7</f>
        <v>0</v>
      </c>
      <c r="D7" s="66">
        <f t="shared" ref="D7:D14" si="0">C7*$D$3</f>
        <v>0</v>
      </c>
      <c r="E7" s="76" t="e">
        <f>stiffner!E7</f>
        <v>#DIV/0!</v>
      </c>
      <c r="F7" s="66" t="e">
        <f t="shared" ref="F7:F14" si="1">D7*E7</f>
        <v>#DIV/0!</v>
      </c>
      <c r="G7" s="67" t="e">
        <f t="shared" ref="G7:G14" si="2">$G$15-E7</f>
        <v>#DIV/0!</v>
      </c>
      <c r="H7" s="76">
        <f>stiffner!H7</f>
        <v>0</v>
      </c>
      <c r="I7" s="76" t="e">
        <f>stiffner!I7</f>
        <v>#DIV/0!</v>
      </c>
    </row>
    <row r="8" spans="2:11">
      <c r="B8" s="22">
        <v>3</v>
      </c>
      <c r="C8" s="31">
        <f>stiffner!C8</f>
        <v>0</v>
      </c>
      <c r="D8" s="69">
        <f t="shared" si="0"/>
        <v>0</v>
      </c>
      <c r="E8" s="54">
        <f>data!O6/2</f>
        <v>0</v>
      </c>
      <c r="F8" s="69">
        <f t="shared" si="1"/>
        <v>0</v>
      </c>
      <c r="G8" s="70" t="e">
        <f t="shared" si="2"/>
        <v>#DIV/0!</v>
      </c>
      <c r="H8" s="31">
        <f>stiffner!H8</f>
        <v>0</v>
      </c>
      <c r="I8" s="31" t="e">
        <f>stiffner!I8</f>
        <v>#DIV/0!</v>
      </c>
    </row>
    <row r="9" spans="2:11">
      <c r="B9" s="65">
        <v>4</v>
      </c>
      <c r="C9" s="76">
        <f>stiffner!C9</f>
        <v>0</v>
      </c>
      <c r="D9" s="66">
        <f t="shared" si="0"/>
        <v>0</v>
      </c>
      <c r="E9" s="76" t="e">
        <f>stiffner!E9</f>
        <v>#DIV/0!</v>
      </c>
      <c r="F9" s="66" t="e">
        <f t="shared" si="1"/>
        <v>#DIV/0!</v>
      </c>
      <c r="G9" s="67" t="e">
        <f t="shared" si="2"/>
        <v>#DIV/0!</v>
      </c>
      <c r="H9" s="76">
        <f>stiffner!H9</f>
        <v>0</v>
      </c>
      <c r="I9" s="76" t="e">
        <f>stiffner!I9</f>
        <v>#DIV/0!</v>
      </c>
    </row>
    <row r="10" spans="2:11">
      <c r="B10" s="21">
        <v>5</v>
      </c>
      <c r="C10" s="31">
        <f>stiffner!C10</f>
        <v>0</v>
      </c>
      <c r="D10" s="28">
        <f t="shared" si="0"/>
        <v>0</v>
      </c>
      <c r="E10" s="54">
        <f>data!O6</f>
        <v>0</v>
      </c>
      <c r="F10" s="28">
        <f t="shared" si="1"/>
        <v>0</v>
      </c>
      <c r="G10" s="52" t="e">
        <f t="shared" si="2"/>
        <v>#DIV/0!</v>
      </c>
      <c r="H10" s="31">
        <f>stiffner!H10</f>
        <v>0</v>
      </c>
      <c r="I10" s="31" t="e">
        <f>stiffner!I10</f>
        <v>#DIV/0!</v>
      </c>
    </row>
    <row r="11" spans="2:11">
      <c r="B11" s="65">
        <v>6</v>
      </c>
      <c r="C11" s="76">
        <f>stiffner!C11</f>
        <v>0</v>
      </c>
      <c r="D11" s="66">
        <f t="shared" si="0"/>
        <v>0</v>
      </c>
      <c r="E11" s="76" t="e">
        <f>stiffner!E11</f>
        <v>#DIV/0!</v>
      </c>
      <c r="F11" s="66" t="e">
        <f t="shared" si="1"/>
        <v>#DIV/0!</v>
      </c>
      <c r="G11" s="67" t="e">
        <f t="shared" si="2"/>
        <v>#DIV/0!</v>
      </c>
      <c r="H11" s="76">
        <f>stiffner!H11</f>
        <v>0</v>
      </c>
      <c r="I11" s="76" t="e">
        <f>stiffner!I11</f>
        <v>#DIV/0!</v>
      </c>
    </row>
    <row r="12" spans="2:11">
      <c r="B12" s="21">
        <v>7</v>
      </c>
      <c r="C12" s="31">
        <f>stiffner!C12</f>
        <v>0</v>
      </c>
      <c r="D12" s="28">
        <f t="shared" si="0"/>
        <v>0</v>
      </c>
      <c r="E12" s="31">
        <f>stiffner!E12</f>
        <v>0</v>
      </c>
      <c r="F12" s="28">
        <f t="shared" si="1"/>
        <v>0</v>
      </c>
      <c r="G12" s="52" t="e">
        <f t="shared" si="2"/>
        <v>#DIV/0!</v>
      </c>
      <c r="H12" s="31">
        <f>stiffner!H12</f>
        <v>0</v>
      </c>
      <c r="I12" s="31" t="e">
        <f>stiffner!I12</f>
        <v>#DIV/0!</v>
      </c>
    </row>
    <row r="13" spans="2:11">
      <c r="B13" s="65">
        <v>8</v>
      </c>
      <c r="C13" s="76">
        <f>stiffner!C13</f>
        <v>0</v>
      </c>
      <c r="D13" s="66">
        <f t="shared" si="0"/>
        <v>0</v>
      </c>
      <c r="E13" s="76" t="e">
        <f>stiffner!E13</f>
        <v>#DIV/0!</v>
      </c>
      <c r="F13" s="66" t="e">
        <f t="shared" si="1"/>
        <v>#DIV/0!</v>
      </c>
      <c r="G13" s="67" t="e">
        <f t="shared" si="2"/>
        <v>#DIV/0!</v>
      </c>
      <c r="H13" s="76">
        <f>stiffner!H13</f>
        <v>0</v>
      </c>
      <c r="I13" s="76" t="e">
        <f>stiffner!I13</f>
        <v>#DIV/0!</v>
      </c>
    </row>
    <row r="14" spans="2:11">
      <c r="B14" s="21" t="s">
        <v>51</v>
      </c>
      <c r="C14" s="31">
        <f>stiffner!C14</f>
        <v>0</v>
      </c>
      <c r="D14" s="28">
        <f t="shared" si="0"/>
        <v>0</v>
      </c>
      <c r="E14" s="31">
        <f>stiffner!E14</f>
        <v>0</v>
      </c>
      <c r="F14" s="28">
        <f t="shared" si="1"/>
        <v>0</v>
      </c>
      <c r="G14" s="52" t="e">
        <f t="shared" si="2"/>
        <v>#DIV/0!</v>
      </c>
      <c r="H14" s="31">
        <f>stiffner!H14</f>
        <v>0</v>
      </c>
      <c r="I14" s="31" t="e">
        <f>stiffner!I14</f>
        <v>#DIV/0!</v>
      </c>
    </row>
    <row r="15" spans="2:11">
      <c r="B15" s="56" t="s">
        <v>52</v>
      </c>
      <c r="C15" s="55"/>
      <c r="D15" s="57">
        <f>SUM(D6:D14)</f>
        <v>0</v>
      </c>
      <c r="E15" s="58"/>
      <c r="F15" s="28" t="e">
        <f>SUM(F6:F14)</f>
        <v>#DIV/0!</v>
      </c>
      <c r="G15" s="58" t="e">
        <f>F15/D15</f>
        <v>#DIV/0!</v>
      </c>
      <c r="H15" s="58"/>
      <c r="I15" s="71" t="e">
        <f>SUM(I6:I14)</f>
        <v>#DIV/0!</v>
      </c>
    </row>
    <row r="16" spans="2:11">
      <c r="B16" s="59"/>
      <c r="C16" s="59"/>
      <c r="D16" s="59"/>
      <c r="E16" s="59"/>
      <c r="F16" s="59"/>
      <c r="G16" s="59"/>
      <c r="H16" s="60"/>
      <c r="I16" s="60"/>
    </row>
    <row r="17" spans="2:9" ht="17">
      <c r="B17" s="21" t="s">
        <v>48</v>
      </c>
      <c r="C17" s="21" t="s">
        <v>49</v>
      </c>
      <c r="D17" s="21" t="s">
        <v>29</v>
      </c>
      <c r="E17" s="21"/>
      <c r="F17" s="21"/>
      <c r="G17" s="21"/>
      <c r="H17" s="21"/>
      <c r="I17" s="21"/>
    </row>
    <row r="18" spans="2:9">
      <c r="B18" s="21" t="s">
        <v>50</v>
      </c>
      <c r="C18" s="28" t="e">
        <f>'flangebis (4)'!O5-'data 2'!C17</f>
        <v>#DIV/0!</v>
      </c>
      <c r="D18" s="28" t="e">
        <f>C18*$D$3</f>
        <v>#DIV/0!</v>
      </c>
      <c r="E18" s="28"/>
      <c r="F18" s="28"/>
      <c r="G18" s="52"/>
      <c r="H18" s="52"/>
      <c r="I18" s="26"/>
    </row>
    <row r="19" spans="2:9">
      <c r="B19" s="21">
        <v>2</v>
      </c>
      <c r="C19" s="28">
        <f>C7</f>
        <v>0</v>
      </c>
      <c r="D19" s="28">
        <f t="shared" ref="D19:D26" si="3">C19*$D$3</f>
        <v>0</v>
      </c>
      <c r="E19" s="28"/>
      <c r="F19" s="28"/>
      <c r="G19" s="52"/>
      <c r="H19" s="52"/>
      <c r="I19" s="53"/>
    </row>
    <row r="20" spans="2:9">
      <c r="B20" s="21">
        <v>3</v>
      </c>
      <c r="C20" s="28">
        <f t="shared" ref="C20:C25" si="4">C8</f>
        <v>0</v>
      </c>
      <c r="D20" s="28">
        <f t="shared" si="3"/>
        <v>0</v>
      </c>
      <c r="E20" s="54"/>
      <c r="F20" s="28"/>
      <c r="G20" s="52"/>
      <c r="H20" s="52"/>
      <c r="I20" s="2"/>
    </row>
    <row r="21" spans="2:9">
      <c r="B21" s="21">
        <v>4</v>
      </c>
      <c r="C21" s="28">
        <f t="shared" si="4"/>
        <v>0</v>
      </c>
      <c r="D21" s="28">
        <f t="shared" si="3"/>
        <v>0</v>
      </c>
      <c r="E21" s="55"/>
      <c r="F21" s="28"/>
      <c r="G21" s="52"/>
      <c r="H21" s="52"/>
      <c r="I21" s="53"/>
    </row>
    <row r="22" spans="2:9">
      <c r="B22" s="21">
        <v>5</v>
      </c>
      <c r="C22" s="28">
        <f t="shared" si="4"/>
        <v>0</v>
      </c>
      <c r="D22" s="28">
        <f t="shared" si="3"/>
        <v>0</v>
      </c>
      <c r="E22" s="54"/>
      <c r="F22" s="28"/>
      <c r="G22" s="52"/>
      <c r="H22" s="52"/>
      <c r="I22" s="2"/>
    </row>
    <row r="23" spans="2:9">
      <c r="B23" s="21">
        <v>6</v>
      </c>
      <c r="C23" s="28">
        <f t="shared" si="4"/>
        <v>0</v>
      </c>
      <c r="D23" s="28">
        <f t="shared" si="3"/>
        <v>0</v>
      </c>
      <c r="E23" s="55"/>
      <c r="F23" s="28"/>
      <c r="G23" s="52"/>
      <c r="H23" s="52"/>
      <c r="I23" s="53"/>
    </row>
    <row r="24" spans="2:9">
      <c r="B24" s="21">
        <v>7</v>
      </c>
      <c r="C24" s="28">
        <f t="shared" si="4"/>
        <v>0</v>
      </c>
      <c r="D24" s="28">
        <f>C24*$D$3</f>
        <v>0</v>
      </c>
      <c r="E24" s="55"/>
      <c r="F24" s="28"/>
      <c r="G24" s="52"/>
      <c r="H24" s="52"/>
      <c r="I24" s="53"/>
    </row>
    <row r="25" spans="2:9">
      <c r="B25" s="21">
        <v>8</v>
      </c>
      <c r="C25" s="28">
        <f t="shared" si="4"/>
        <v>0</v>
      </c>
      <c r="D25" s="28">
        <f t="shared" si="3"/>
        <v>0</v>
      </c>
      <c r="E25" s="55"/>
      <c r="F25" s="28"/>
      <c r="G25" s="52"/>
      <c r="H25" s="52"/>
      <c r="I25" s="53"/>
    </row>
    <row r="26" spans="2:9">
      <c r="B26" s="21" t="s">
        <v>51</v>
      </c>
      <c r="C26" s="28" t="e">
        <f>C18</f>
        <v>#DIV/0!</v>
      </c>
      <c r="D26" s="28" t="e">
        <f t="shared" si="3"/>
        <v>#DIV/0!</v>
      </c>
      <c r="E26" s="28"/>
      <c r="F26" s="28"/>
      <c r="G26" s="52"/>
      <c r="H26" s="52"/>
      <c r="I26" s="61"/>
    </row>
    <row r="27" spans="2:9">
      <c r="B27" s="56" t="s">
        <v>52</v>
      </c>
      <c r="C27" s="55"/>
      <c r="D27" s="57" t="e">
        <f>SUM(D18:D26)</f>
        <v>#DIV/0!</v>
      </c>
      <c r="E27" s="58"/>
      <c r="F27" s="28"/>
      <c r="G27" s="58"/>
      <c r="H27" s="58"/>
      <c r="I27" s="2"/>
    </row>
    <row r="28" spans="2:9">
      <c r="B28" s="59"/>
      <c r="C28" s="59"/>
      <c r="D28" s="59"/>
      <c r="E28" s="59"/>
      <c r="F28" s="59"/>
      <c r="G28" s="59"/>
      <c r="H28" s="60"/>
      <c r="I28" s="60"/>
    </row>
    <row r="29" spans="2:9">
      <c r="B29" s="59"/>
      <c r="C29" s="59"/>
      <c r="D29" s="59"/>
      <c r="E29" s="59"/>
      <c r="F29" s="59"/>
      <c r="G29" s="59"/>
      <c r="H29" s="60"/>
      <c r="I29" s="60"/>
    </row>
    <row r="30" spans="2:9" ht="17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>
      <c r="B31" s="2">
        <f>2*C3+B3</f>
        <v>0</v>
      </c>
      <c r="C31" s="2"/>
      <c r="D31" s="2">
        <f>'data 2'!K3</f>
        <v>0</v>
      </c>
      <c r="E31" s="2" t="e">
        <f>'data 2'!N3</f>
        <v>#DIV/0!</v>
      </c>
      <c r="F31" s="2" t="e">
        <f>3.07*(I15*C3^2*(2*C3+3*B3)/D3^3)^0.25</f>
        <v>#DIV/0!</v>
      </c>
      <c r="G31" s="2" t="e">
        <f>F31/E31</f>
        <v>#DIV/0!</v>
      </c>
      <c r="H31" s="2" t="e">
        <f>((E31+2*B31)/(E31+0.5*B31))^0.5</f>
        <v>#DIV/0!</v>
      </c>
      <c r="I31" s="62" t="e">
        <f>IF(G31&gt;2,H31,(H31-(H31-1)*(2*F31/E31-(F31/E31)^2)))</f>
        <v>#DIV/0!</v>
      </c>
    </row>
    <row r="32" spans="2:9">
      <c r="B32" s="5"/>
      <c r="C32" s="5"/>
      <c r="D32" s="5"/>
      <c r="E32" s="5"/>
      <c r="F32" s="5"/>
      <c r="G32" s="5"/>
      <c r="H32" s="5"/>
      <c r="I32" s="5"/>
    </row>
    <row r="33" spans="2:9" ht="17">
      <c r="B33" s="1" t="s">
        <v>60</v>
      </c>
      <c r="C33" s="5"/>
      <c r="D33" s="5"/>
      <c r="E33" s="5"/>
      <c r="F33" s="5"/>
      <c r="G33" s="5"/>
      <c r="H33" s="5"/>
      <c r="I33" s="5"/>
    </row>
    <row r="34" spans="2:9">
      <c r="B34" s="2" t="e">
        <f>4.2*I31*E3/D27*(I15*D3^3/4/C3^2/(2*C3+3*B3))^0.5</f>
        <v>#DIV/0!</v>
      </c>
      <c r="C34" s="5"/>
      <c r="D34" s="5"/>
      <c r="E34" s="5"/>
      <c r="F34" s="5"/>
      <c r="G34" s="5"/>
      <c r="H34" s="5"/>
      <c r="I34" s="5"/>
    </row>
    <row r="36" spans="2:9" ht="17">
      <c r="B36" s="1" t="s">
        <v>2</v>
      </c>
      <c r="C36" s="1" t="s">
        <v>61</v>
      </c>
      <c r="D36" s="1" t="s">
        <v>62</v>
      </c>
      <c r="E36" s="1" t="s">
        <v>63</v>
      </c>
    </row>
    <row r="37" spans="2:9">
      <c r="B37" s="53">
        <f>'data 2'!L3</f>
        <v>0</v>
      </c>
      <c r="C37" s="50" t="e">
        <f>(B37/B34)^0.5</f>
        <v>#DIV/0!</v>
      </c>
      <c r="D37" s="75" t="e">
        <f>IF(C37&lt;0.65,1,(1.47-0.723*C37))</f>
        <v>#DIV/0!</v>
      </c>
      <c r="E37" s="75" t="e">
        <f>IF(C37&gt;1.38,0.66/C37,D37)</f>
        <v>#DIV/0!</v>
      </c>
    </row>
    <row r="39" spans="2:9" ht="17">
      <c r="B39" s="2" t="s">
        <v>64</v>
      </c>
      <c r="C39" s="21" t="s">
        <v>65</v>
      </c>
      <c r="E39" t="s">
        <v>66</v>
      </c>
    </row>
    <row r="40" spans="2:9">
      <c r="B40" s="63" t="e">
        <f>E37</f>
        <v>#DIV/0!</v>
      </c>
      <c r="C40" s="28" t="e">
        <f>B40*D3*B37/'flange (4)'!J5/'flange (4)'!K5</f>
        <v>#DIV/0!</v>
      </c>
      <c r="E40" s="23" t="e">
        <f>B37/'flange (4)'!K5/'flange (4)'!J5</f>
        <v>#DIV/0!</v>
      </c>
      <c r="G40" s="64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I3" sqref="I3"/>
    </sheetView>
  </sheetViews>
  <sheetFormatPr baseColWidth="10" defaultRowHeight="15" x14ac:dyDescent="0"/>
  <sheetData>
    <row r="2" spans="2:8" ht="17">
      <c r="B2" s="1" t="s">
        <v>1</v>
      </c>
      <c r="C2" s="1" t="s">
        <v>3</v>
      </c>
      <c r="D2" s="1" t="s">
        <v>2</v>
      </c>
      <c r="E2" s="48" t="s">
        <v>42</v>
      </c>
      <c r="F2" s="47" t="s">
        <v>41</v>
      </c>
      <c r="G2" s="1" t="s">
        <v>68</v>
      </c>
      <c r="H2" s="1" t="s">
        <v>69</v>
      </c>
    </row>
    <row r="3" spans="2:8">
      <c r="B3" s="6" t="e">
        <f>web!B3</f>
        <v>#DIV/0!</v>
      </c>
      <c r="C3" s="6">
        <f>data!Q6</f>
        <v>0</v>
      </c>
      <c r="D3" s="6">
        <f>data!P6</f>
        <v>0</v>
      </c>
      <c r="E3" s="5">
        <f>flange!K5</f>
        <v>1</v>
      </c>
      <c r="F3" s="5" t="e">
        <f>'flange (4)'!J5</f>
        <v>#DIV/0!</v>
      </c>
      <c r="G3" s="6" t="e">
        <f>'data 2'!K3-'moment (3)'!H27</f>
        <v>#DIV/0!</v>
      </c>
      <c r="H3" s="5" t="e">
        <f>G3/SIN('data 2'!C3)-'data 2'!F16</f>
        <v>#DIV/0!</v>
      </c>
    </row>
    <row r="5" spans="2:8" ht="17">
      <c r="B5" s="1" t="s">
        <v>70</v>
      </c>
      <c r="C5" s="1" t="s">
        <v>71</v>
      </c>
      <c r="D5" s="1" t="s">
        <v>72</v>
      </c>
      <c r="E5" s="1" t="s">
        <v>73</v>
      </c>
      <c r="F5" s="5" t="s">
        <v>74</v>
      </c>
    </row>
    <row r="6" spans="2:8">
      <c r="B6" s="61" t="e">
        <f>0.95*B3*(C3/F3/E3)^0.5</f>
        <v>#DIV/0!</v>
      </c>
      <c r="C6" s="61" t="e">
        <f>B6</f>
        <v>#DIV/0!</v>
      </c>
      <c r="D6" s="2" t="e">
        <f>1.5*C6</f>
        <v>#DIV/0!</v>
      </c>
      <c r="E6" s="6" t="e">
        <f>C6+D6</f>
        <v>#DIV/0!</v>
      </c>
      <c r="F6" s="5"/>
    </row>
    <row r="10" spans="2:8" ht="17">
      <c r="B10" s="1" t="s">
        <v>4</v>
      </c>
      <c r="C10" s="21" t="s">
        <v>49</v>
      </c>
      <c r="D10" s="21" t="s">
        <v>29</v>
      </c>
      <c r="E10" s="21" t="s">
        <v>30</v>
      </c>
      <c r="F10" s="21" t="s">
        <v>31</v>
      </c>
    </row>
    <row r="11" spans="2:8">
      <c r="B11" s="1">
        <v>1</v>
      </c>
      <c r="C11" s="78">
        <f>'data 2'!C28</f>
        <v>0</v>
      </c>
    </row>
    <row r="12" spans="2:8">
      <c r="B12" s="1">
        <v>2</v>
      </c>
      <c r="C12" s="78">
        <f>'data 2'!C29</f>
        <v>0</v>
      </c>
    </row>
    <row r="13" spans="2:8">
      <c r="B13" s="1">
        <v>3</v>
      </c>
      <c r="C13" s="78">
        <f>'data 2'!C30</f>
        <v>0</v>
      </c>
    </row>
    <row r="14" spans="2:8">
      <c r="B14" s="1">
        <v>4</v>
      </c>
      <c r="C14" s="78">
        <f>'data 2'!C31</f>
        <v>0</v>
      </c>
    </row>
    <row r="15" spans="2:8">
      <c r="B15" s="1">
        <v>51</v>
      </c>
      <c r="C15" s="78" t="e">
        <f>'flangebis (3)'!O5-'data 2'!C17</f>
        <v>#DIV/0!</v>
      </c>
    </row>
    <row r="16" spans="2:8">
      <c r="B16" s="1">
        <v>52</v>
      </c>
      <c r="C16" s="78" t="e">
        <f>'flange (3)'!O5-'data 2'!F17</f>
        <v>#DIV/0!</v>
      </c>
    </row>
    <row r="17" spans="2:3">
      <c r="B17" s="1">
        <v>6</v>
      </c>
      <c r="C17" s="78">
        <f>'data 2'!C33</f>
        <v>0</v>
      </c>
    </row>
    <row r="18" spans="2:3">
      <c r="B18" s="1">
        <v>7</v>
      </c>
      <c r="C18" s="78">
        <f>'data 2'!C34</f>
        <v>0</v>
      </c>
    </row>
    <row r="19" spans="2:3">
      <c r="B19" s="77" t="s">
        <v>75</v>
      </c>
      <c r="C19" s="78" t="e">
        <f>IF(-(H3-C6-D6)&gt;0,0,(-(H3-C6-D6)))</f>
        <v>#DIV/0!</v>
      </c>
    </row>
    <row r="20" spans="2:3">
      <c r="B20" s="1">
        <v>8</v>
      </c>
      <c r="C20" s="78">
        <f>'data 2'!C35</f>
        <v>0</v>
      </c>
    </row>
    <row r="21" spans="2:3">
      <c r="B21" s="1">
        <v>9</v>
      </c>
      <c r="C21" s="78">
        <f>'data 2'!C36</f>
        <v>0</v>
      </c>
    </row>
    <row r="22" spans="2:3">
      <c r="B22" s="1">
        <v>10</v>
      </c>
      <c r="C22" s="78">
        <f>'data 2'!C37</f>
        <v>0</v>
      </c>
    </row>
    <row r="23" spans="2:3">
      <c r="B23" s="1">
        <v>11</v>
      </c>
      <c r="C23" s="78">
        <f>'data 2'!C38</f>
        <v>0</v>
      </c>
    </row>
    <row r="24" spans="2:3">
      <c r="B24" s="1">
        <v>12</v>
      </c>
      <c r="C24" s="78">
        <f>'data 2'!C39</f>
        <v>0</v>
      </c>
    </row>
    <row r="25" spans="2:3">
      <c r="B25" s="1">
        <v>13</v>
      </c>
      <c r="C25" s="79">
        <f>'data 2'!C40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opLeftCell="A17" zoomScale="125" zoomScaleNormal="125" zoomScalePageLayoutView="125" workbookViewId="0">
      <selection activeCell="I3" sqref="I3"/>
    </sheetView>
  </sheetViews>
  <sheetFormatPr baseColWidth="10" defaultRowHeight="15" x14ac:dyDescent="0"/>
  <sheetData>
    <row r="2" spans="1:10" ht="17">
      <c r="A2" t="s">
        <v>1</v>
      </c>
      <c r="B2" s="1" t="s">
        <v>1</v>
      </c>
      <c r="C2" s="1" t="s">
        <v>3</v>
      </c>
      <c r="D2" s="1" t="s">
        <v>2</v>
      </c>
    </row>
    <row r="3" spans="1:10">
      <c r="A3">
        <f>data!J6</f>
        <v>0</v>
      </c>
      <c r="B3" s="61" t="e">
        <f>moment!B3</f>
        <v>#DIV/0!</v>
      </c>
      <c r="C3" s="2">
        <f>data!Q6</f>
        <v>0</v>
      </c>
      <c r="D3" s="2">
        <f>data!P6</f>
        <v>0</v>
      </c>
    </row>
    <row r="8" spans="1:10" ht="17">
      <c r="B8" s="1" t="s">
        <v>4</v>
      </c>
      <c r="C8" s="21" t="s">
        <v>49</v>
      </c>
      <c r="D8" s="21" t="s">
        <v>76</v>
      </c>
      <c r="E8" s="21" t="s">
        <v>29</v>
      </c>
      <c r="F8" s="21" t="s">
        <v>30</v>
      </c>
      <c r="G8" s="21" t="s">
        <v>31</v>
      </c>
      <c r="H8" s="21" t="s">
        <v>32</v>
      </c>
      <c r="I8" s="22" t="s">
        <v>33</v>
      </c>
      <c r="J8" s="21" t="s">
        <v>34</v>
      </c>
    </row>
    <row r="9" spans="1:10">
      <c r="A9" s="80">
        <v>0</v>
      </c>
      <c r="B9" s="21">
        <v>1</v>
      </c>
      <c r="C9" s="28">
        <f>web!C11</f>
        <v>0</v>
      </c>
      <c r="D9" s="81" t="e">
        <f>'stiffner (4)'!C$40</f>
        <v>#DIV/0!</v>
      </c>
      <c r="E9" s="81" t="e">
        <f>C9*D9</f>
        <v>#DIV/0!</v>
      </c>
      <c r="F9" s="2">
        <f>'data 2'!J28</f>
        <v>0</v>
      </c>
      <c r="G9" s="1" t="e">
        <f>E9*F9</f>
        <v>#DIV/0!</v>
      </c>
      <c r="H9" s="2" t="e">
        <f t="shared" ref="H9:H23" si="0">$H$27-F9</f>
        <v>#DIV/0!</v>
      </c>
      <c r="I9" s="50">
        <f>'data 2'!M28</f>
        <v>0</v>
      </c>
      <c r="J9" s="31" t="e">
        <f>E9*I9^2/12+E9*H9^2</f>
        <v>#DIV/0!</v>
      </c>
    </row>
    <row r="10" spans="1:10">
      <c r="A10" s="80">
        <v>0.80870598857129861</v>
      </c>
      <c r="B10" s="21">
        <v>2</v>
      </c>
      <c r="C10" s="28">
        <f>web!C12</f>
        <v>0</v>
      </c>
      <c r="D10" s="81" t="e">
        <f>'stiffner (4)'!C$40</f>
        <v>#DIV/0!</v>
      </c>
      <c r="E10" s="81" t="e">
        <f t="shared" ref="E10:E13" si="1">C10*D10</f>
        <v>#DIV/0!</v>
      </c>
      <c r="F10" s="2" t="e">
        <f>'data 2'!J29</f>
        <v>#DIV/0!</v>
      </c>
      <c r="G10" s="1" t="e">
        <f t="shared" ref="G10:G23" si="2">E10*F10</f>
        <v>#DIV/0!</v>
      </c>
      <c r="H10" s="2" t="e">
        <f t="shared" si="0"/>
        <v>#DIV/0!</v>
      </c>
      <c r="I10" s="50"/>
      <c r="J10" s="41" t="e">
        <f>D10*'data 2'!E$3^3*(('data 2'!B$3+SIN('data 2'!B$3)*COS('data 2'!B$3))/2-SIN('data 2'!B$3)^2/'data 2'!B$3)+E10*H10^2</f>
        <v>#DIV/0!</v>
      </c>
    </row>
    <row r="11" spans="1:10">
      <c r="A11" s="80">
        <v>10.497526735775734</v>
      </c>
      <c r="B11" s="21">
        <v>3</v>
      </c>
      <c r="C11" s="28">
        <f>web!C13</f>
        <v>0</v>
      </c>
      <c r="D11" s="81" t="e">
        <f>'stiffner (4)'!C$40</f>
        <v>#DIV/0!</v>
      </c>
      <c r="E11" s="81" t="e">
        <f t="shared" si="1"/>
        <v>#DIV/0!</v>
      </c>
      <c r="F11" s="2">
        <f>'data 2'!J30</f>
        <v>0</v>
      </c>
      <c r="G11" s="1" t="e">
        <f t="shared" si="2"/>
        <v>#DIV/0!</v>
      </c>
      <c r="H11" s="2" t="e">
        <f t="shared" si="0"/>
        <v>#DIV/0!</v>
      </c>
      <c r="I11" s="50">
        <f>'data 2'!M30</f>
        <v>0</v>
      </c>
      <c r="J11" s="31" t="e">
        <f>E11*I11^2/12+E11*H11^2</f>
        <v>#DIV/0!</v>
      </c>
    </row>
    <row r="12" spans="1:10">
      <c r="A12" s="80">
        <v>0.80870598857129861</v>
      </c>
      <c r="B12" s="21">
        <v>4</v>
      </c>
      <c r="C12" s="28">
        <f>web!C14</f>
        <v>0</v>
      </c>
      <c r="D12" s="81" t="e">
        <f>'stiffner (4)'!C$40</f>
        <v>#DIV/0!</v>
      </c>
      <c r="E12" s="81" t="e">
        <f t="shared" si="1"/>
        <v>#DIV/0!</v>
      </c>
      <c r="F12" s="2" t="e">
        <f>'data 2'!J31</f>
        <v>#DIV/0!</v>
      </c>
      <c r="G12" s="1" t="e">
        <f t="shared" si="2"/>
        <v>#DIV/0!</v>
      </c>
      <c r="H12" s="2" t="e">
        <f t="shared" si="0"/>
        <v>#DIV/0!</v>
      </c>
      <c r="I12" s="50"/>
      <c r="J12" s="41" t="e">
        <f>D12*'data 2'!E$3^3*(('data 2'!B$3+SIN('data 2'!B$3)*COS('data 2'!B$3))/2-SIN('data 2'!B$3)^2/'data 2'!B$3)+E12*H12^2</f>
        <v>#DIV/0!</v>
      </c>
    </row>
    <row r="13" spans="1:10">
      <c r="B13" s="21">
        <v>51</v>
      </c>
      <c r="C13" s="28" t="e">
        <f>web!C15</f>
        <v>#DIV/0!</v>
      </c>
      <c r="D13" s="81" t="e">
        <f>'stiffner (4)'!C$40</f>
        <v>#DIV/0!</v>
      </c>
      <c r="E13" s="81" t="e">
        <f t="shared" si="1"/>
        <v>#DIV/0!</v>
      </c>
      <c r="F13" s="2">
        <f>'data 2'!J32</f>
        <v>0</v>
      </c>
      <c r="G13" s="1" t="e">
        <f t="shared" si="2"/>
        <v>#DIV/0!</v>
      </c>
      <c r="H13" s="2" t="e">
        <f t="shared" si="0"/>
        <v>#DIV/0!</v>
      </c>
      <c r="I13" s="50">
        <f>'data 2'!M32</f>
        <v>0</v>
      </c>
      <c r="J13" s="31" t="e">
        <f>E13*I13^2/12+E13*H13^2</f>
        <v>#DIV/0!</v>
      </c>
    </row>
    <row r="14" spans="1:10">
      <c r="B14" s="21">
        <v>52</v>
      </c>
      <c r="C14" s="28" t="e">
        <f>web!C16</f>
        <v>#DIV/0!</v>
      </c>
      <c r="D14" s="50">
        <f>A$3</f>
        <v>0</v>
      </c>
      <c r="E14" s="50" t="e">
        <f t="shared" ref="E14:E22" si="3">C14*D14</f>
        <v>#DIV/0!</v>
      </c>
      <c r="F14" s="2">
        <f>'data 2'!J32</f>
        <v>0</v>
      </c>
      <c r="G14" s="1" t="e">
        <f t="shared" si="2"/>
        <v>#DIV/0!</v>
      </c>
      <c r="H14" s="2" t="e">
        <f t="shared" si="0"/>
        <v>#DIV/0!</v>
      </c>
      <c r="I14" s="50">
        <f>'data 2'!M32</f>
        <v>0</v>
      </c>
      <c r="J14" s="31" t="e">
        <f>E14*I14^2/12+E14*H14^2</f>
        <v>#DIV/0!</v>
      </c>
    </row>
    <row r="15" spans="1:10">
      <c r="B15" s="21">
        <v>6</v>
      </c>
      <c r="C15" s="28">
        <f>web!C17</f>
        <v>0</v>
      </c>
      <c r="D15" s="50">
        <f>A$3</f>
        <v>0</v>
      </c>
      <c r="E15" s="50">
        <f t="shared" si="3"/>
        <v>0</v>
      </c>
      <c r="F15" s="2" t="e">
        <f>'data 2'!J33</f>
        <v>#DIV/0!</v>
      </c>
      <c r="G15" s="1" t="e">
        <f t="shared" si="2"/>
        <v>#DIV/0!</v>
      </c>
      <c r="H15" s="2" t="e">
        <f t="shared" si="0"/>
        <v>#DIV/0!</v>
      </c>
      <c r="I15" s="50"/>
      <c r="J15" s="41" t="e">
        <f>D15*'data 2'!E$3^3*(('data 2'!C$3+SIN('data 2'!C$3)*COS('data 2'!C$3))/2-SIN('data 2'!C$3)^2/'data 2'!C$3)+E15*H15^2</f>
        <v>#DIV/0!</v>
      </c>
    </row>
    <row r="16" spans="1:10">
      <c r="B16" s="21">
        <v>7</v>
      </c>
      <c r="C16" s="28">
        <f>web!C18</f>
        <v>0</v>
      </c>
      <c r="D16" s="109" t="e">
        <f>B$3</f>
        <v>#DIV/0!</v>
      </c>
      <c r="E16" s="50" t="e">
        <f t="shared" si="3"/>
        <v>#DIV/0!</v>
      </c>
      <c r="F16" s="2">
        <f>'data 2'!J34</f>
        <v>0</v>
      </c>
      <c r="G16" s="1" t="e">
        <f t="shared" si="2"/>
        <v>#DIV/0!</v>
      </c>
      <c r="H16" s="2" t="e">
        <f t="shared" si="0"/>
        <v>#DIV/0!</v>
      </c>
      <c r="I16" s="50">
        <f>'data 2'!M34</f>
        <v>0</v>
      </c>
      <c r="J16" s="31" t="e">
        <f>E16*I16^2/12+E16*H16^2</f>
        <v>#DIV/0!</v>
      </c>
    </row>
    <row r="17" spans="2:11">
      <c r="B17" s="29" t="s">
        <v>75</v>
      </c>
      <c r="C17" s="28" t="e">
        <f>'web (3)'!C19</f>
        <v>#DIV/0!</v>
      </c>
      <c r="D17" s="109" t="e">
        <f t="shared" ref="D17:D21" si="4">B$3</f>
        <v>#DIV/0!</v>
      </c>
      <c r="E17" s="50" t="e">
        <f t="shared" si="3"/>
        <v>#DIV/0!</v>
      </c>
      <c r="F17" s="2" t="e">
        <f>'moment (2)'!H27+('web (3)'!D6-'web (3)'!C19/2)*SIN(data!E6)</f>
        <v>#DIV/0!</v>
      </c>
      <c r="G17" s="1" t="e">
        <f t="shared" si="2"/>
        <v>#DIV/0!</v>
      </c>
      <c r="H17" s="2" t="e">
        <f t="shared" si="0"/>
        <v>#DIV/0!</v>
      </c>
      <c r="I17" s="86" t="e">
        <f>-C17*SIN(data!E6)</f>
        <v>#DIV/0!</v>
      </c>
      <c r="J17" s="31" t="e">
        <f>E17*I17^2/12+E17*H17^2</f>
        <v>#DIV/0!</v>
      </c>
    </row>
    <row r="18" spans="2:11">
      <c r="B18" s="21">
        <v>8</v>
      </c>
      <c r="C18" s="28">
        <f>web!C20</f>
        <v>0</v>
      </c>
      <c r="D18" s="109" t="e">
        <f t="shared" si="4"/>
        <v>#DIV/0!</v>
      </c>
      <c r="E18" s="50" t="e">
        <f t="shared" si="3"/>
        <v>#DIV/0!</v>
      </c>
      <c r="F18" s="2">
        <f>'data 2'!J35</f>
        <v>0</v>
      </c>
      <c r="G18" s="1" t="e">
        <f t="shared" si="2"/>
        <v>#DIV/0!</v>
      </c>
      <c r="H18" s="2" t="e">
        <f t="shared" si="0"/>
        <v>#DIV/0!</v>
      </c>
      <c r="I18" s="50"/>
      <c r="J18" s="41" t="e">
        <f>D18*'data 2'!E$3^3*(('data 2'!C$3+SIN('data 2'!C$3)*COS('data 2'!C$3))/2-SIN('data 2'!C$3)^2/'data 2'!C$3)+E18*H18^2</f>
        <v>#DIV/0!</v>
      </c>
    </row>
    <row r="19" spans="2:11">
      <c r="B19" s="21">
        <v>9</v>
      </c>
      <c r="C19" s="28">
        <f>web!C21</f>
        <v>0</v>
      </c>
      <c r="D19" s="109" t="e">
        <f t="shared" si="4"/>
        <v>#DIV/0!</v>
      </c>
      <c r="E19" s="50" t="e">
        <f t="shared" si="3"/>
        <v>#DIV/0!</v>
      </c>
      <c r="F19" s="2">
        <f>'data 2'!J36</f>
        <v>0</v>
      </c>
      <c r="G19" s="1" t="e">
        <f t="shared" si="2"/>
        <v>#DIV/0!</v>
      </c>
      <c r="H19" s="2" t="e">
        <f t="shared" si="0"/>
        <v>#DIV/0!</v>
      </c>
      <c r="I19" s="50">
        <f>'data 2'!M36</f>
        <v>0</v>
      </c>
      <c r="J19" s="31" t="e">
        <f>E19*I19^2/12+E19*H19^2</f>
        <v>#DIV/0!</v>
      </c>
    </row>
    <row r="20" spans="2:11">
      <c r="B20" s="21">
        <v>10</v>
      </c>
      <c r="C20" s="28">
        <f>web!C22</f>
        <v>0</v>
      </c>
      <c r="D20" s="109" t="e">
        <f t="shared" si="4"/>
        <v>#DIV/0!</v>
      </c>
      <c r="E20" s="50" t="e">
        <f t="shared" si="3"/>
        <v>#DIV/0!</v>
      </c>
      <c r="F20" s="2">
        <f>'data 2'!J37</f>
        <v>0</v>
      </c>
      <c r="G20" s="1" t="e">
        <f t="shared" si="2"/>
        <v>#DIV/0!</v>
      </c>
      <c r="H20" s="2" t="e">
        <f t="shared" si="0"/>
        <v>#DIV/0!</v>
      </c>
      <c r="I20" s="50"/>
      <c r="J20" s="41" t="e">
        <f>D20*'data 2'!E$3^3*(('data 2'!D$3+SIN('data 2'!D$3)*COS('data 2'!D$3))/2-SIN('data 2'!D$3)^2/'data 2'!D$3)+E20*H20^2</f>
        <v>#DIV/0!</v>
      </c>
    </row>
    <row r="21" spans="2:11">
      <c r="B21" s="21">
        <v>11</v>
      </c>
      <c r="C21" s="28">
        <f>web!C23</f>
        <v>0</v>
      </c>
      <c r="D21" s="109" t="e">
        <f t="shared" si="4"/>
        <v>#DIV/0!</v>
      </c>
      <c r="E21" s="50" t="e">
        <f t="shared" si="3"/>
        <v>#DIV/0!</v>
      </c>
      <c r="F21" s="2">
        <f>'data 2'!J38</f>
        <v>0</v>
      </c>
      <c r="G21" s="1" t="e">
        <f>E21*F21</f>
        <v>#DIV/0!</v>
      </c>
      <c r="H21" s="2" t="e">
        <f t="shared" si="0"/>
        <v>#DIV/0!</v>
      </c>
      <c r="I21" s="50">
        <f>'data 2'!M38</f>
        <v>0</v>
      </c>
      <c r="J21" s="31" t="e">
        <f>E21*I21^2/12+E21*H21^2</f>
        <v>#DIV/0!</v>
      </c>
    </row>
    <row r="22" spans="2:11">
      <c r="B22" s="21">
        <v>12</v>
      </c>
      <c r="C22" s="28">
        <f>web!C24</f>
        <v>0</v>
      </c>
      <c r="D22" s="50">
        <f>A$3</f>
        <v>0</v>
      </c>
      <c r="E22" s="50">
        <f t="shared" si="3"/>
        <v>0</v>
      </c>
      <c r="F22" s="2" t="e">
        <f>'data 2'!J39</f>
        <v>#DIV/0!</v>
      </c>
      <c r="G22" s="1" t="e">
        <f t="shared" si="2"/>
        <v>#DIV/0!</v>
      </c>
      <c r="H22" s="2" t="e">
        <f t="shared" si="0"/>
        <v>#DIV/0!</v>
      </c>
      <c r="I22" s="50"/>
      <c r="J22" s="41" t="e">
        <f>D22*'data 2'!E$3^3*(('data 2'!D$3+SIN('data 2'!D$3)*COS('data 2'!D$3))/2-SIN('data 2'!D$3)^2/'data 2'!D$3)+E22*H22^2</f>
        <v>#DIV/0!</v>
      </c>
    </row>
    <row r="23" spans="2:11">
      <c r="B23" s="21">
        <v>13</v>
      </c>
      <c r="C23" s="28">
        <f>web!C25</f>
        <v>0</v>
      </c>
      <c r="D23" s="50">
        <f>A$3</f>
        <v>0</v>
      </c>
      <c r="E23" s="50">
        <f>C23*D23</f>
        <v>0</v>
      </c>
      <c r="F23" s="2">
        <f>'data 2'!J40</f>
        <v>0</v>
      </c>
      <c r="G23" s="1">
        <f t="shared" si="2"/>
        <v>0</v>
      </c>
      <c r="H23" s="2" t="e">
        <f t="shared" si="0"/>
        <v>#DIV/0!</v>
      </c>
      <c r="I23" s="50">
        <f>'data 2'!M40</f>
        <v>0</v>
      </c>
      <c r="J23" s="31" t="e">
        <f>E23*I23^2/12+E23*H23^2</f>
        <v>#DIV/0!</v>
      </c>
    </row>
    <row r="24" spans="2:11">
      <c r="B24" s="21"/>
      <c r="C24" s="1"/>
      <c r="D24" s="1"/>
      <c r="E24" s="2"/>
      <c r="F24" s="1"/>
      <c r="G24" s="2"/>
      <c r="H24" s="2"/>
      <c r="I24" s="1"/>
      <c r="J24" s="26"/>
    </row>
    <row r="27" spans="2:11">
      <c r="B27" s="21" t="s">
        <v>52</v>
      </c>
      <c r="C27" s="5"/>
      <c r="D27" s="5"/>
      <c r="E27" s="2" t="e">
        <f>SUM(E9:E26)</f>
        <v>#DIV/0!</v>
      </c>
      <c r="G27" s="2" t="e">
        <f>SUM(G9:G26)</f>
        <v>#DIV/0!</v>
      </c>
      <c r="H27" s="2" t="e">
        <f>G27/E27</f>
        <v>#DIV/0!</v>
      </c>
      <c r="J27" s="26" t="e">
        <f>SUM(J9:J26)</f>
        <v>#DIV/0!</v>
      </c>
      <c r="K27" s="82" t="s">
        <v>77</v>
      </c>
    </row>
    <row r="28" spans="2:11">
      <c r="E28" s="5" t="e">
        <f>E27*2</f>
        <v>#DIV/0!</v>
      </c>
      <c r="G28" s="5"/>
      <c r="H28" s="6" t="e">
        <f>data!L6-'moment (4)'!H27</f>
        <v>#DIV/0!</v>
      </c>
      <c r="J28" s="5" t="e">
        <f>J27*2</f>
        <v>#DIV/0!</v>
      </c>
      <c r="K28" s="82" t="s">
        <v>78</v>
      </c>
    </row>
    <row r="29" spans="2:11">
      <c r="B29" s="5" t="s">
        <v>80</v>
      </c>
      <c r="C29" s="5" t="e">
        <f>J27/MAX(H27,H28)</f>
        <v>#DIV/0!</v>
      </c>
      <c r="D29" s="5" t="s">
        <v>77</v>
      </c>
      <c r="J29" s="5" t="e">
        <f>J28/data!K6</f>
        <v>#DIV/0!</v>
      </c>
      <c r="K29" s="82" t="s">
        <v>79</v>
      </c>
    </row>
    <row r="30" spans="2:11">
      <c r="B30" s="5" t="s">
        <v>80</v>
      </c>
      <c r="C30" s="5" t="e">
        <f>2*C29</f>
        <v>#DIV/0!</v>
      </c>
      <c r="D30" s="5" t="s">
        <v>78</v>
      </c>
    </row>
    <row r="31" spans="2:11">
      <c r="B31" s="5" t="s">
        <v>80</v>
      </c>
      <c r="C31" s="5" t="e">
        <f>C30/data!K6</f>
        <v>#DIV/0!</v>
      </c>
      <c r="D31" s="5" t="s">
        <v>81</v>
      </c>
    </row>
    <row r="32" spans="2:11">
      <c r="B32" s="5"/>
      <c r="C32" s="5"/>
      <c r="D32" s="5"/>
    </row>
    <row r="33" spans="2:10">
      <c r="B33" s="5" t="s">
        <v>82</v>
      </c>
      <c r="C33" s="5" t="s">
        <v>82</v>
      </c>
      <c r="D33" s="5"/>
    </row>
    <row r="34" spans="2:10">
      <c r="B34" s="83" t="e">
        <f>D3*C31*1</f>
        <v>#DIV/0!</v>
      </c>
      <c r="C34" s="83" t="s">
        <v>83</v>
      </c>
      <c r="D34" s="84"/>
    </row>
    <row r="35" spans="2:10">
      <c r="B35" s="85" t="e">
        <f>B34/1000</f>
        <v>#DIV/0!</v>
      </c>
      <c r="C35" t="s">
        <v>84</v>
      </c>
      <c r="E35" t="e">
        <f>(3.53-B35)/3.53</f>
        <v>#DIV/0!</v>
      </c>
    </row>
    <row r="37" spans="2:10" ht="17">
      <c r="B37" s="1" t="s">
        <v>4</v>
      </c>
      <c r="C37" s="21" t="s">
        <v>159</v>
      </c>
      <c r="D37" s="21" t="s">
        <v>169</v>
      </c>
      <c r="E37" s="21" t="s">
        <v>29</v>
      </c>
      <c r="F37" s="21" t="s">
        <v>30</v>
      </c>
      <c r="G37" s="21" t="s">
        <v>31</v>
      </c>
      <c r="H37" s="21" t="s">
        <v>32</v>
      </c>
      <c r="I37" s="22" t="s">
        <v>33</v>
      </c>
      <c r="J37" s="21" t="s">
        <v>34</v>
      </c>
    </row>
    <row r="38" spans="2:10">
      <c r="B38" s="133">
        <v>1</v>
      </c>
      <c r="C38" s="134">
        <f>C9</f>
        <v>0</v>
      </c>
      <c r="D38" s="139" t="e">
        <f>D9</f>
        <v>#DIV/0!</v>
      </c>
      <c r="E38" s="134" t="e">
        <f>C38*D38</f>
        <v>#DIV/0!</v>
      </c>
      <c r="F38" s="139">
        <f>F9</f>
        <v>0</v>
      </c>
      <c r="G38" s="139" t="e">
        <f t="shared" ref="G38:J38" si="5">G9</f>
        <v>#DIV/0!</v>
      </c>
      <c r="H38" s="139" t="e">
        <f t="shared" si="5"/>
        <v>#DIV/0!</v>
      </c>
      <c r="I38" s="139">
        <f t="shared" si="5"/>
        <v>0</v>
      </c>
      <c r="J38" s="139" t="e">
        <f t="shared" si="5"/>
        <v>#DIV/0!</v>
      </c>
    </row>
    <row r="39" spans="2:10" ht="17">
      <c r="B39" s="133" t="s">
        <v>161</v>
      </c>
      <c r="C39" s="134">
        <f t="shared" ref="C39:D45" si="6">C10</f>
        <v>0</v>
      </c>
      <c r="D39" s="139" t="e">
        <f t="shared" si="6"/>
        <v>#DIV/0!</v>
      </c>
      <c r="E39" s="134" t="e">
        <f t="shared" ref="E39:E51" si="7">C39*D39</f>
        <v>#DIV/0!</v>
      </c>
      <c r="F39" s="139" t="e">
        <f t="shared" ref="F39:J45" si="8">F10</f>
        <v>#DIV/0!</v>
      </c>
      <c r="G39" s="139" t="e">
        <f t="shared" si="8"/>
        <v>#DIV/0!</v>
      </c>
      <c r="H39" s="139" t="e">
        <f t="shared" si="8"/>
        <v>#DIV/0!</v>
      </c>
      <c r="I39" s="139">
        <f t="shared" si="8"/>
        <v>0</v>
      </c>
      <c r="J39" s="139" t="e">
        <f t="shared" si="8"/>
        <v>#DIV/0!</v>
      </c>
    </row>
    <row r="40" spans="2:10">
      <c r="B40" s="75">
        <v>2</v>
      </c>
      <c r="C40" s="134">
        <f t="shared" si="6"/>
        <v>0</v>
      </c>
      <c r="D40" s="139" t="e">
        <f t="shared" si="6"/>
        <v>#DIV/0!</v>
      </c>
      <c r="E40" s="134" t="e">
        <f t="shared" si="7"/>
        <v>#DIV/0!</v>
      </c>
      <c r="F40" s="139">
        <f t="shared" si="8"/>
        <v>0</v>
      </c>
      <c r="G40" s="139" t="e">
        <f t="shared" si="8"/>
        <v>#DIV/0!</v>
      </c>
      <c r="H40" s="139" t="e">
        <f t="shared" si="8"/>
        <v>#DIV/0!</v>
      </c>
      <c r="I40" s="139">
        <f t="shared" si="8"/>
        <v>0</v>
      </c>
      <c r="J40" s="139" t="e">
        <f t="shared" si="8"/>
        <v>#DIV/0!</v>
      </c>
    </row>
    <row r="41" spans="2:10" ht="17">
      <c r="B41" s="133" t="s">
        <v>160</v>
      </c>
      <c r="C41" s="134">
        <f t="shared" si="6"/>
        <v>0</v>
      </c>
      <c r="D41" s="139" t="e">
        <f t="shared" si="6"/>
        <v>#DIV/0!</v>
      </c>
      <c r="E41" s="134" t="e">
        <f t="shared" si="7"/>
        <v>#DIV/0!</v>
      </c>
      <c r="F41" s="139" t="e">
        <f t="shared" si="8"/>
        <v>#DIV/0!</v>
      </c>
      <c r="G41" s="139" t="e">
        <f t="shared" si="8"/>
        <v>#DIV/0!</v>
      </c>
      <c r="H41" s="139" t="e">
        <f t="shared" si="8"/>
        <v>#DIV/0!</v>
      </c>
      <c r="I41" s="139">
        <f t="shared" si="8"/>
        <v>0</v>
      </c>
      <c r="J41" s="139" t="e">
        <f t="shared" si="8"/>
        <v>#DIV/0!</v>
      </c>
    </row>
    <row r="42" spans="2:10">
      <c r="B42" s="133">
        <v>31</v>
      </c>
      <c r="C42" s="134" t="e">
        <f t="shared" si="6"/>
        <v>#DIV/0!</v>
      </c>
      <c r="D42" s="139" t="e">
        <f t="shared" si="6"/>
        <v>#DIV/0!</v>
      </c>
      <c r="E42" s="134" t="e">
        <f t="shared" si="7"/>
        <v>#DIV/0!</v>
      </c>
      <c r="F42" s="139">
        <f t="shared" si="8"/>
        <v>0</v>
      </c>
      <c r="G42" s="139" t="e">
        <f t="shared" si="8"/>
        <v>#DIV/0!</v>
      </c>
      <c r="H42" s="139" t="e">
        <f t="shared" si="8"/>
        <v>#DIV/0!</v>
      </c>
      <c r="I42" s="139">
        <f t="shared" si="8"/>
        <v>0</v>
      </c>
      <c r="J42" s="139" t="e">
        <f t="shared" si="8"/>
        <v>#DIV/0!</v>
      </c>
    </row>
    <row r="43" spans="2:10">
      <c r="B43" s="133">
        <v>32</v>
      </c>
      <c r="C43" s="134" t="e">
        <f t="shared" si="6"/>
        <v>#DIV/0!</v>
      </c>
      <c r="D43" s="139">
        <f t="shared" si="6"/>
        <v>0</v>
      </c>
      <c r="E43" s="134" t="e">
        <f t="shared" si="7"/>
        <v>#DIV/0!</v>
      </c>
      <c r="F43" s="139">
        <f t="shared" si="8"/>
        <v>0</v>
      </c>
      <c r="G43" s="139" t="e">
        <f t="shared" si="8"/>
        <v>#DIV/0!</v>
      </c>
      <c r="H43" s="139" t="e">
        <f t="shared" si="8"/>
        <v>#DIV/0!</v>
      </c>
      <c r="I43" s="139">
        <f t="shared" si="8"/>
        <v>0</v>
      </c>
      <c r="J43" s="139" t="e">
        <f t="shared" si="8"/>
        <v>#DIV/0!</v>
      </c>
    </row>
    <row r="44" spans="2:10" ht="17">
      <c r="B44" s="133" t="s">
        <v>162</v>
      </c>
      <c r="C44" s="134">
        <f t="shared" si="6"/>
        <v>0</v>
      </c>
      <c r="D44" s="139">
        <f t="shared" si="6"/>
        <v>0</v>
      </c>
      <c r="E44" s="134">
        <f t="shared" si="7"/>
        <v>0</v>
      </c>
      <c r="F44" s="139" t="e">
        <f t="shared" si="8"/>
        <v>#DIV/0!</v>
      </c>
      <c r="G44" s="139" t="e">
        <f t="shared" si="8"/>
        <v>#DIV/0!</v>
      </c>
      <c r="H44" s="139" t="e">
        <f t="shared" si="8"/>
        <v>#DIV/0!</v>
      </c>
      <c r="I44" s="139">
        <f t="shared" si="8"/>
        <v>0</v>
      </c>
      <c r="J44" s="139" t="e">
        <f t="shared" si="8"/>
        <v>#DIV/0!</v>
      </c>
    </row>
    <row r="45" spans="2:10">
      <c r="B45" s="133">
        <v>4</v>
      </c>
      <c r="C45" s="134">
        <f t="shared" si="6"/>
        <v>0</v>
      </c>
      <c r="D45" s="139" t="e">
        <f t="shared" si="6"/>
        <v>#DIV/0!</v>
      </c>
      <c r="E45" s="134" t="e">
        <f t="shared" si="7"/>
        <v>#DIV/0!</v>
      </c>
      <c r="F45" s="139">
        <f t="shared" si="8"/>
        <v>0</v>
      </c>
      <c r="G45" s="139" t="e">
        <f t="shared" si="8"/>
        <v>#DIV/0!</v>
      </c>
      <c r="H45" s="139" t="e">
        <f t="shared" si="8"/>
        <v>#DIV/0!</v>
      </c>
      <c r="I45" s="139">
        <f t="shared" si="8"/>
        <v>0</v>
      </c>
      <c r="J45" s="139" t="e">
        <f t="shared" si="8"/>
        <v>#DIV/0!</v>
      </c>
    </row>
    <row r="46" spans="2:10" ht="17">
      <c r="B46" s="133" t="s">
        <v>165</v>
      </c>
      <c r="C46" s="134">
        <f>C18</f>
        <v>0</v>
      </c>
      <c r="D46" s="139" t="e">
        <f>D18</f>
        <v>#DIV/0!</v>
      </c>
      <c r="E46" s="134" t="e">
        <f t="shared" si="7"/>
        <v>#DIV/0!</v>
      </c>
      <c r="F46" s="139">
        <f>F18</f>
        <v>0</v>
      </c>
      <c r="G46" s="139" t="e">
        <f t="shared" ref="G46:J46" si="9">G18</f>
        <v>#DIV/0!</v>
      </c>
      <c r="H46" s="139" t="e">
        <f t="shared" si="9"/>
        <v>#DIV/0!</v>
      </c>
      <c r="I46" s="139">
        <f t="shared" si="9"/>
        <v>0</v>
      </c>
      <c r="J46" s="139" t="e">
        <f t="shared" si="9"/>
        <v>#DIV/0!</v>
      </c>
    </row>
    <row r="47" spans="2:10">
      <c r="B47" s="133">
        <v>5</v>
      </c>
      <c r="C47" s="134">
        <f t="shared" ref="C47:D51" si="10">C19</f>
        <v>0</v>
      </c>
      <c r="D47" s="139" t="e">
        <f t="shared" si="10"/>
        <v>#DIV/0!</v>
      </c>
      <c r="E47" s="134" t="e">
        <f t="shared" si="7"/>
        <v>#DIV/0!</v>
      </c>
      <c r="F47" s="139">
        <f t="shared" ref="F47:J51" si="11">F19</f>
        <v>0</v>
      </c>
      <c r="G47" s="139" t="e">
        <f t="shared" si="11"/>
        <v>#DIV/0!</v>
      </c>
      <c r="H47" s="139" t="e">
        <f t="shared" si="11"/>
        <v>#DIV/0!</v>
      </c>
      <c r="I47" s="139">
        <f t="shared" si="11"/>
        <v>0</v>
      </c>
      <c r="J47" s="139" t="e">
        <f t="shared" si="11"/>
        <v>#DIV/0!</v>
      </c>
    </row>
    <row r="48" spans="2:10" ht="17">
      <c r="B48" s="133" t="s">
        <v>166</v>
      </c>
      <c r="C48" s="134">
        <f t="shared" si="10"/>
        <v>0</v>
      </c>
      <c r="D48" s="139" t="e">
        <f t="shared" si="10"/>
        <v>#DIV/0!</v>
      </c>
      <c r="E48" s="134" t="e">
        <f t="shared" si="7"/>
        <v>#DIV/0!</v>
      </c>
      <c r="F48" s="139">
        <f t="shared" si="11"/>
        <v>0</v>
      </c>
      <c r="G48" s="139" t="e">
        <f t="shared" si="11"/>
        <v>#DIV/0!</v>
      </c>
      <c r="H48" s="139" t="e">
        <f t="shared" si="11"/>
        <v>#DIV/0!</v>
      </c>
      <c r="I48" s="139">
        <f t="shared" si="11"/>
        <v>0</v>
      </c>
      <c r="J48" s="139" t="e">
        <f t="shared" si="11"/>
        <v>#DIV/0!</v>
      </c>
    </row>
    <row r="49" spans="2:10">
      <c r="B49" s="133">
        <v>6</v>
      </c>
      <c r="C49" s="134">
        <f t="shared" si="10"/>
        <v>0</v>
      </c>
      <c r="D49" s="139" t="e">
        <f t="shared" si="10"/>
        <v>#DIV/0!</v>
      </c>
      <c r="E49" s="134" t="e">
        <f t="shared" si="7"/>
        <v>#DIV/0!</v>
      </c>
      <c r="F49" s="139">
        <f t="shared" si="11"/>
        <v>0</v>
      </c>
      <c r="G49" s="139" t="e">
        <f t="shared" si="11"/>
        <v>#DIV/0!</v>
      </c>
      <c r="H49" s="139" t="e">
        <f t="shared" si="11"/>
        <v>#DIV/0!</v>
      </c>
      <c r="I49" s="139">
        <f t="shared" si="11"/>
        <v>0</v>
      </c>
      <c r="J49" s="139" t="e">
        <f t="shared" si="11"/>
        <v>#DIV/0!</v>
      </c>
    </row>
    <row r="50" spans="2:10" ht="17">
      <c r="B50" s="133" t="s">
        <v>163</v>
      </c>
      <c r="C50" s="134">
        <f t="shared" si="10"/>
        <v>0</v>
      </c>
      <c r="D50" s="139">
        <f t="shared" si="10"/>
        <v>0</v>
      </c>
      <c r="E50" s="134">
        <f t="shared" si="7"/>
        <v>0</v>
      </c>
      <c r="F50" s="139" t="e">
        <f t="shared" si="11"/>
        <v>#DIV/0!</v>
      </c>
      <c r="G50" s="139" t="e">
        <f t="shared" si="11"/>
        <v>#DIV/0!</v>
      </c>
      <c r="H50" s="139" t="e">
        <f t="shared" si="11"/>
        <v>#DIV/0!</v>
      </c>
      <c r="I50" s="139">
        <f t="shared" si="11"/>
        <v>0</v>
      </c>
      <c r="J50" s="139" t="e">
        <f t="shared" si="11"/>
        <v>#DIV/0!</v>
      </c>
    </row>
    <row r="51" spans="2:10">
      <c r="B51" s="133">
        <v>7</v>
      </c>
      <c r="C51" s="134">
        <f t="shared" si="10"/>
        <v>0</v>
      </c>
      <c r="D51" s="139">
        <f t="shared" si="10"/>
        <v>0</v>
      </c>
      <c r="E51" s="134">
        <f t="shared" si="7"/>
        <v>0</v>
      </c>
      <c r="F51" s="139">
        <f t="shared" si="11"/>
        <v>0</v>
      </c>
      <c r="G51" s="139">
        <f t="shared" si="11"/>
        <v>0</v>
      </c>
      <c r="H51" s="139" t="e">
        <f t="shared" si="11"/>
        <v>#DIV/0!</v>
      </c>
      <c r="I51" s="139">
        <f t="shared" si="11"/>
        <v>0</v>
      </c>
      <c r="J51" s="139" t="e">
        <f t="shared" si="11"/>
        <v>#DIV/0!</v>
      </c>
    </row>
    <row r="52" spans="2:10">
      <c r="B52" s="89" t="s">
        <v>164</v>
      </c>
      <c r="E52" s="135" t="e">
        <f>SUM(E38:E51)</f>
        <v>#DIV/0!</v>
      </c>
      <c r="F52" s="136"/>
      <c r="G52" s="135" t="e">
        <f>SUM(G38:G51)</f>
        <v>#DIV/0!</v>
      </c>
      <c r="H52" s="137" t="e">
        <f>G52/E52</f>
        <v>#DIV/0!</v>
      </c>
      <c r="I52" s="142"/>
      <c r="J52" s="135" t="e">
        <f>SUM(J38:J51)</f>
        <v>#DIV/0!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zoomScale="50" zoomScaleNormal="50" zoomScalePageLayoutView="50" workbookViewId="0">
      <selection activeCell="I3" sqref="I3"/>
    </sheetView>
  </sheetViews>
  <sheetFormatPr baseColWidth="10" defaultRowHeight="15" x14ac:dyDescent="0"/>
  <sheetData>
    <row r="2" spans="1:11" ht="17">
      <c r="B2" s="90" t="s">
        <v>110</v>
      </c>
      <c r="C2" s="90" t="s">
        <v>91</v>
      </c>
      <c r="D2" s="90" t="s">
        <v>0</v>
      </c>
      <c r="E2" s="90" t="s">
        <v>1</v>
      </c>
      <c r="F2" s="90" t="s">
        <v>2</v>
      </c>
      <c r="G2" s="90" t="s">
        <v>3</v>
      </c>
      <c r="H2" s="90" t="s">
        <v>92</v>
      </c>
      <c r="I2" s="90" t="s">
        <v>54</v>
      </c>
      <c r="J2" s="91" t="s">
        <v>93</v>
      </c>
      <c r="K2" s="115" t="s">
        <v>115</v>
      </c>
    </row>
    <row r="3" spans="1:11">
      <c r="B3" s="90">
        <f>2*data!C15</f>
        <v>0</v>
      </c>
      <c r="C3" s="92">
        <f>data!E6*180/PI()</f>
        <v>0</v>
      </c>
      <c r="D3" s="92"/>
      <c r="E3" s="132" t="e">
        <f>data!J6*(1-0.866*(data!T6/data!S6)^2*K3/'data 2'!N3)^1.5</f>
        <v>#DIV/0!</v>
      </c>
      <c r="F3" s="93">
        <f>data!P6</f>
        <v>0</v>
      </c>
      <c r="G3" s="92">
        <v>210000</v>
      </c>
      <c r="H3" s="92">
        <f>data!D6</f>
        <v>0</v>
      </c>
      <c r="I3" s="92">
        <f>data!L6</f>
        <v>0</v>
      </c>
      <c r="J3" s="92">
        <f>data!H6*180/PI()</f>
        <v>0</v>
      </c>
      <c r="K3">
        <f>data!U6</f>
        <v>0</v>
      </c>
    </row>
    <row r="4" spans="1:11">
      <c r="A4" s="94"/>
      <c r="B4" s="94"/>
      <c r="C4" s="94"/>
      <c r="D4" s="94"/>
      <c r="E4" s="94"/>
      <c r="F4" s="94"/>
      <c r="G4" s="94"/>
      <c r="H4" s="94"/>
      <c r="I4" s="94"/>
      <c r="J4" s="94"/>
      <c r="K4" s="5"/>
    </row>
    <row r="5" spans="1:11">
      <c r="A5" s="94"/>
      <c r="B5" s="94"/>
      <c r="C5" s="94"/>
      <c r="D5" s="94"/>
      <c r="E5" s="94"/>
      <c r="F5" s="94"/>
      <c r="G5" s="94"/>
      <c r="H5" s="94"/>
      <c r="I5" s="94"/>
      <c r="J5" s="94"/>
      <c r="K5" s="5"/>
    </row>
    <row r="6" spans="1:11" ht="17">
      <c r="B6" s="92" t="s">
        <v>94</v>
      </c>
      <c r="C6" s="95" t="s">
        <v>95</v>
      </c>
      <c r="D6" s="92" t="s">
        <v>96</v>
      </c>
      <c r="E6" s="96" t="s">
        <v>97</v>
      </c>
      <c r="F6" s="94" t="s">
        <v>98</v>
      </c>
      <c r="G6" s="94"/>
      <c r="H6" s="94"/>
      <c r="I6" s="94"/>
      <c r="J6" s="94"/>
      <c r="K6" s="5"/>
    </row>
    <row r="7" spans="1:11">
      <c r="B7" s="92" t="e">
        <f>H3/E3</f>
        <v>#DIV/0!</v>
      </c>
      <c r="C7" s="92" t="e">
        <f>I3/E3</f>
        <v>#DIV/0!</v>
      </c>
      <c r="D7" s="92">
        <f>200*SIN(J3*PI()/180)</f>
        <v>0</v>
      </c>
      <c r="E7" s="94">
        <v>40</v>
      </c>
      <c r="F7" s="94">
        <f>1.5*I3</f>
        <v>0</v>
      </c>
      <c r="G7" s="94"/>
      <c r="H7" s="94"/>
      <c r="I7" s="94"/>
      <c r="J7" s="94"/>
      <c r="K7" s="5"/>
    </row>
    <row r="8" spans="1:11">
      <c r="A8" s="94"/>
      <c r="B8" s="94"/>
      <c r="C8" s="94"/>
      <c r="D8" s="94"/>
      <c r="E8" s="94"/>
      <c r="F8" s="94"/>
      <c r="G8" s="94"/>
      <c r="H8" s="94"/>
      <c r="I8" s="94"/>
      <c r="J8" s="94"/>
      <c r="K8" s="5"/>
    </row>
    <row r="9" spans="1:11">
      <c r="A9" s="94"/>
      <c r="B9" s="97"/>
      <c r="C9" s="97"/>
      <c r="D9" s="97"/>
      <c r="E9" s="94"/>
      <c r="F9" s="94"/>
      <c r="G9" s="94"/>
      <c r="H9" s="94"/>
      <c r="I9" s="94"/>
      <c r="J9" s="94"/>
      <c r="K9" s="5"/>
    </row>
    <row r="10" spans="1:11">
      <c r="A10" s="94"/>
      <c r="B10" s="94"/>
      <c r="C10" s="94"/>
      <c r="D10" s="94"/>
      <c r="E10" s="94"/>
      <c r="F10" s="94"/>
      <c r="G10" s="94"/>
      <c r="H10" s="94"/>
      <c r="I10" s="98" t="s">
        <v>99</v>
      </c>
      <c r="J10" s="94"/>
      <c r="K10" s="5"/>
    </row>
    <row r="11" spans="1:11" ht="17">
      <c r="A11" s="94"/>
      <c r="B11" s="90" t="s">
        <v>100</v>
      </c>
      <c r="C11" s="99" t="s">
        <v>101</v>
      </c>
      <c r="D11" s="90" t="s">
        <v>102</v>
      </c>
      <c r="E11" s="90" t="s">
        <v>103</v>
      </c>
      <c r="F11" s="110" t="s">
        <v>111</v>
      </c>
      <c r="G11" s="110" t="s">
        <v>112</v>
      </c>
      <c r="H11" s="111" t="s">
        <v>113</v>
      </c>
      <c r="I11" s="111" t="s">
        <v>114</v>
      </c>
      <c r="J11" s="90" t="s">
        <v>104</v>
      </c>
      <c r="K11" s="90" t="s">
        <v>105</v>
      </c>
    </row>
    <row r="12" spans="1:11">
      <c r="A12" s="90" t="s">
        <v>106</v>
      </c>
      <c r="B12" s="100">
        <v>10</v>
      </c>
      <c r="C12" s="90">
        <v>7.4999999999999997E-2</v>
      </c>
      <c r="D12" s="90">
        <v>1</v>
      </c>
      <c r="E12" s="101" t="e">
        <f>C12*$E$3^2*($F$3*$G$3)^0.5*(1-0.1*$B$7^0.5)*(0.5+(0.02*B12/$E$3)^0.5)*(2.4+($J$3/90)^2)/D12</f>
        <v>#DIV/0!</v>
      </c>
      <c r="F12" s="112">
        <f>SIN(($C$3-$J$3)*PI()/180)*data!$C$11</f>
        <v>0</v>
      </c>
      <c r="G12" s="112">
        <f>SIN(($C$3-$J$3)*PI()/180)*data!C$14</f>
        <v>0</v>
      </c>
      <c r="H12" s="113" t="e">
        <f>1.45-0.05*F12/$E$3</f>
        <v>#DIV/0!</v>
      </c>
      <c r="I12" s="114" t="e">
        <f>E12*H12</f>
        <v>#DIV/0!</v>
      </c>
      <c r="J12" s="92" t="e">
        <f>I12/data!K$6*2*1000</f>
        <v>#DIV/0!</v>
      </c>
      <c r="K12" s="101" t="e">
        <f>J12/1000</f>
        <v>#DIV/0!</v>
      </c>
    </row>
    <row r="13" spans="1:11">
      <c r="A13" s="90" t="s">
        <v>107</v>
      </c>
      <c r="B13" s="102">
        <v>160</v>
      </c>
      <c r="C13" s="90">
        <v>0.15</v>
      </c>
      <c r="D13" s="90">
        <v>1</v>
      </c>
      <c r="E13" s="101" t="e">
        <f>C13*$E$3^2*($F$3*$G$3)^0.5*(1-0.1*$B$7^0.5)*(0.5+(0.02*B13/$E$3)^0.5)*(2.4+($J$3/90)^2)/D13</f>
        <v>#DIV/0!</v>
      </c>
      <c r="F13" s="112">
        <f>SIN(($C$3-$J$3)*PI()/180)*data!$C$11</f>
        <v>0</v>
      </c>
      <c r="G13" s="112">
        <f>SIN(($C$3-$J$3)*PI()/180)*data!C$14</f>
        <v>0</v>
      </c>
      <c r="H13" s="113" t="e">
        <f>1.45-0.05*F13/$E$3</f>
        <v>#DIV/0!</v>
      </c>
      <c r="I13" s="114" t="e">
        <f>E13*H13</f>
        <v>#DIV/0!</v>
      </c>
      <c r="J13" s="92" t="e">
        <f>I13/data!K$6*2*1000</f>
        <v>#DIV/0!</v>
      </c>
      <c r="K13" s="101" t="e">
        <f>J13/1000</f>
        <v>#DIV/0!</v>
      </c>
    </row>
    <row r="14" spans="1:11">
      <c r="A14" s="90" t="s">
        <v>107</v>
      </c>
      <c r="B14" s="102">
        <v>60</v>
      </c>
      <c r="C14" s="90">
        <v>0.15</v>
      </c>
      <c r="D14" s="90">
        <v>1</v>
      </c>
      <c r="E14" s="101" t="e">
        <f>C14*$E$3^2*($F$3*$G$3)^0.5*(1-0.1*$B$7^0.5)*(0.5+(0.02*B14/$E$3)^0.5)*(2.4+($J$3/90)^2)/D14</f>
        <v>#DIV/0!</v>
      </c>
      <c r="F14" s="112">
        <f>SIN(($C$3-$J$3)*PI()/180)*data!$C$11</f>
        <v>0</v>
      </c>
      <c r="G14" s="112">
        <f>SIN(($C$3-$J$3)*PI()/180)*data!C$14</f>
        <v>0</v>
      </c>
      <c r="H14" s="113" t="e">
        <f>1.45-0.05*F14/$E$3</f>
        <v>#DIV/0!</v>
      </c>
      <c r="I14" s="114" t="e">
        <f>E14*H14</f>
        <v>#DIV/0!</v>
      </c>
      <c r="J14" s="92" t="e">
        <f>I14/data!K$6*2*1000</f>
        <v>#DIV/0!</v>
      </c>
      <c r="K14" s="101" t="e">
        <f>J14/1000</f>
        <v>#DIV/0!</v>
      </c>
    </row>
  </sheetData>
  <autoFilter ref="A11:K14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zoomScale="150" zoomScaleNormal="150" zoomScalePageLayoutView="150" workbookViewId="0">
      <selection activeCell="I3" sqref="I3"/>
    </sheetView>
  </sheetViews>
  <sheetFormatPr baseColWidth="10" defaultRowHeight="15" x14ac:dyDescent="0"/>
  <cols>
    <col min="1" max="1" width="21.1640625" customWidth="1"/>
    <col min="3" max="5" width="19.83203125" customWidth="1"/>
  </cols>
  <sheetData>
    <row r="2" spans="1:5">
      <c r="A2" s="143"/>
      <c r="B2" s="8"/>
      <c r="C2" s="75" t="s">
        <v>170</v>
      </c>
      <c r="D2" s="75" t="s">
        <v>171</v>
      </c>
      <c r="E2" s="75" t="s">
        <v>172</v>
      </c>
    </row>
    <row r="3" spans="1:5" ht="17">
      <c r="A3" s="144" t="s">
        <v>173</v>
      </c>
      <c r="B3" s="145" t="s">
        <v>174</v>
      </c>
      <c r="C3" s="146" t="e">
        <f>'flange (2)'!$J5</f>
        <v>#DIV/0!</v>
      </c>
      <c r="D3" s="146" t="e">
        <f>'flange (3)'!$J5</f>
        <v>#DIV/0!</v>
      </c>
      <c r="E3" s="146" t="e">
        <f>'flange (4)'!$J5</f>
        <v>#DIV/0!</v>
      </c>
    </row>
    <row r="4" spans="1:5">
      <c r="A4" s="147"/>
      <c r="B4" s="148" t="s">
        <v>175</v>
      </c>
      <c r="C4" s="149" t="e">
        <f>'flange (2)'!$M5</f>
        <v>#DIV/0!</v>
      </c>
      <c r="D4" s="149" t="e">
        <f>'flange (3)'!$M5</f>
        <v>#DIV/0!</v>
      </c>
      <c r="E4" s="149" t="e">
        <f>'flange (4)'!$M5</f>
        <v>#DIV/0!</v>
      </c>
    </row>
    <row r="5" spans="1:5">
      <c r="A5" s="150"/>
      <c r="B5" s="151" t="s">
        <v>176</v>
      </c>
      <c r="C5" s="88" t="e">
        <f>'flange (2)'!$O5</f>
        <v>#DIV/0!</v>
      </c>
      <c r="D5" s="88" t="e">
        <f>'flange (3)'!$O5</f>
        <v>#DIV/0!</v>
      </c>
      <c r="E5" s="88" t="e">
        <f>'flange (4)'!$O5</f>
        <v>#DIV/0!</v>
      </c>
    </row>
    <row r="6" spans="1:5" ht="16">
      <c r="A6" s="144" t="s">
        <v>177</v>
      </c>
      <c r="B6" s="152" t="s">
        <v>178</v>
      </c>
      <c r="C6" s="88" t="e">
        <f>'stiffner (2)'!$B34</f>
        <v>#DIV/0!</v>
      </c>
      <c r="D6" s="88" t="e">
        <f>'stiffner (3)'!$B34</f>
        <v>#DIV/0!</v>
      </c>
      <c r="E6" s="88" t="e">
        <f>'stiffner (4)'!$B34</f>
        <v>#DIV/0!</v>
      </c>
    </row>
    <row r="7" spans="1:5" ht="16">
      <c r="A7" s="147"/>
      <c r="B7" s="153" t="s">
        <v>179</v>
      </c>
      <c r="C7" s="88" t="e">
        <f>'stiffner (2)'!$B40</f>
        <v>#DIV/0!</v>
      </c>
      <c r="D7" s="88" t="e">
        <f>'stiffner (3)'!$B40</f>
        <v>#DIV/0!</v>
      </c>
      <c r="E7" s="88" t="e">
        <f>'stiffner (4)'!$B40</f>
        <v>#DIV/0!</v>
      </c>
    </row>
    <row r="8" spans="1:5">
      <c r="A8" s="150"/>
      <c r="B8" s="154" t="s">
        <v>180</v>
      </c>
      <c r="C8" s="88" t="e">
        <f>'stiffner (2)'!$C40</f>
        <v>#DIV/0!</v>
      </c>
      <c r="D8" s="88" t="e">
        <f>'stiffner (3)'!$C40</f>
        <v>#DIV/0!</v>
      </c>
      <c r="E8" s="88" t="e">
        <f>'stiffner (4)'!$C40</f>
        <v>#DIV/0!</v>
      </c>
    </row>
    <row r="9" spans="1:5">
      <c r="A9" s="144" t="s">
        <v>181</v>
      </c>
      <c r="B9" s="155" t="s">
        <v>182</v>
      </c>
      <c r="C9" s="156" t="e">
        <f>'web (2)'!$G3</f>
        <v>#DIV/0!</v>
      </c>
      <c r="D9" s="156" t="e">
        <f>'web (3)'!$G3</f>
        <v>#DIV/0!</v>
      </c>
      <c r="E9" s="156" t="e">
        <f>'web (4)'!$G3</f>
        <v>#DIV/0!</v>
      </c>
    </row>
    <row r="10" spans="1:5">
      <c r="A10" s="147"/>
      <c r="B10" s="155" t="s">
        <v>183</v>
      </c>
      <c r="C10" s="156" t="e">
        <f>'web (2)'!$H3</f>
        <v>#DIV/0!</v>
      </c>
      <c r="D10" s="156" t="e">
        <f>'web (3)'!$H3</f>
        <v>#DIV/0!</v>
      </c>
      <c r="E10" s="156" t="e">
        <f>'web (4)'!$H3</f>
        <v>#DIV/0!</v>
      </c>
    </row>
    <row r="11" spans="1:5">
      <c r="A11" s="147"/>
      <c r="B11" s="154" t="s">
        <v>184</v>
      </c>
      <c r="C11" s="156" t="e">
        <f>'web (2)'!$B6</f>
        <v>#DIV/0!</v>
      </c>
      <c r="D11" s="156" t="e">
        <f>'web (3)'!$B6</f>
        <v>#DIV/0!</v>
      </c>
      <c r="E11" s="156" t="e">
        <f>'web (4)'!$B6</f>
        <v>#DIV/0!</v>
      </c>
    </row>
    <row r="12" spans="1:5">
      <c r="A12" s="147"/>
      <c r="B12" s="157" t="s">
        <v>185</v>
      </c>
      <c r="C12" s="156" t="e">
        <f>'web (2)'!$C6</f>
        <v>#DIV/0!</v>
      </c>
      <c r="D12" s="156" t="e">
        <f>'web (3)'!$C6</f>
        <v>#DIV/0!</v>
      </c>
      <c r="E12" s="156" t="e">
        <f>'web (4)'!$C6</f>
        <v>#DIV/0!</v>
      </c>
    </row>
    <row r="13" spans="1:5">
      <c r="A13" s="147"/>
      <c r="B13" s="154" t="s">
        <v>186</v>
      </c>
      <c r="C13" s="156" t="e">
        <f>'web (2)'!$D6</f>
        <v>#DIV/0!</v>
      </c>
      <c r="D13" s="156" t="e">
        <f>'web (3)'!$D6</f>
        <v>#DIV/0!</v>
      </c>
      <c r="E13" s="156" t="e">
        <f>'web (4)'!$D6</f>
        <v>#DIV/0!</v>
      </c>
    </row>
    <row r="14" spans="1:5">
      <c r="A14" s="147"/>
      <c r="B14" s="157" t="s">
        <v>187</v>
      </c>
      <c r="C14" s="156" t="e">
        <f>C12+C13</f>
        <v>#DIV/0!</v>
      </c>
      <c r="D14" s="156" t="e">
        <f>D12+D13</f>
        <v>#DIV/0!</v>
      </c>
      <c r="E14" s="156" t="e">
        <f>E12+E13</f>
        <v>#DIV/0!</v>
      </c>
    </row>
    <row r="15" spans="1:5">
      <c r="A15" s="147"/>
      <c r="B15" s="154"/>
      <c r="C15" s="75" t="s">
        <v>188</v>
      </c>
      <c r="D15" s="75" t="s">
        <v>188</v>
      </c>
      <c r="E15" s="75" t="s">
        <v>188</v>
      </c>
    </row>
    <row r="16" spans="1:5">
      <c r="A16" s="147"/>
      <c r="B16" s="157" t="s">
        <v>185</v>
      </c>
      <c r="C16" s="75" t="s">
        <v>189</v>
      </c>
      <c r="D16" s="75" t="s">
        <v>189</v>
      </c>
      <c r="E16" s="75" t="s">
        <v>189</v>
      </c>
    </row>
    <row r="17" spans="1:5">
      <c r="A17" s="147"/>
      <c r="B17" s="154" t="s">
        <v>186</v>
      </c>
      <c r="C17" s="75" t="s">
        <v>190</v>
      </c>
      <c r="D17" s="75" t="s">
        <v>190</v>
      </c>
      <c r="E17" s="75" t="s">
        <v>190</v>
      </c>
    </row>
    <row r="18" spans="1:5">
      <c r="A18" s="75" t="s">
        <v>191</v>
      </c>
      <c r="B18" s="155" t="s">
        <v>192</v>
      </c>
      <c r="C18" s="156" t="e">
        <f>'moment (2)'!$E27</f>
        <v>#DIV/0!</v>
      </c>
      <c r="D18" s="156" t="e">
        <f>'moment (3)'!$E27</f>
        <v>#DIV/0!</v>
      </c>
      <c r="E18" s="156" t="e">
        <f>'moment (4)'!$E27</f>
        <v>#DIV/0!</v>
      </c>
    </row>
    <row r="19" spans="1:5">
      <c r="A19" s="75" t="s">
        <v>193</v>
      </c>
      <c r="B19" s="151" t="s">
        <v>194</v>
      </c>
      <c r="C19" s="156" t="e">
        <f>'moment (2)'!$H27</f>
        <v>#DIV/0!</v>
      </c>
      <c r="D19" s="156" t="e">
        <f>'moment (3)'!$H27</f>
        <v>#DIV/0!</v>
      </c>
      <c r="E19" s="156" t="e">
        <f>'moment (4)'!$H27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I3" sqref="I3"/>
    </sheetView>
  </sheetViews>
  <sheetFormatPr baseColWidth="10" defaultRowHeight="15" x14ac:dyDescent="0"/>
  <cols>
    <col min="2" max="2" width="5" customWidth="1"/>
    <col min="3" max="3" width="5.83203125" customWidth="1"/>
    <col min="6" max="6" width="5.6640625" customWidth="1"/>
    <col min="7" max="7" width="9.1640625" customWidth="1"/>
    <col min="8" max="8" width="7" customWidth="1"/>
    <col min="9" max="9" width="5.33203125" customWidth="1"/>
    <col min="10" max="10" width="7.83203125" customWidth="1"/>
    <col min="11" max="11" width="7.1640625" customWidth="1"/>
    <col min="12" max="12" width="6.6640625" customWidth="1"/>
    <col min="13" max="13" width="6.5" customWidth="1"/>
    <col min="14" max="14" width="8.1640625" customWidth="1"/>
    <col min="15" max="15" width="7.1640625" customWidth="1"/>
  </cols>
  <sheetData>
    <row r="2" spans="2: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7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45" t="s">
        <v>38</v>
      </c>
      <c r="H4" s="46" t="s">
        <v>39</v>
      </c>
      <c r="I4" s="1" t="s">
        <v>40</v>
      </c>
      <c r="J4" s="47" t="s">
        <v>41</v>
      </c>
      <c r="K4" s="48" t="s">
        <v>42</v>
      </c>
      <c r="L4" s="1" t="s">
        <v>43</v>
      </c>
      <c r="M4" s="1" t="s">
        <v>44</v>
      </c>
      <c r="N4" s="3" t="s">
        <v>45</v>
      </c>
      <c r="O4" s="3" t="s">
        <v>46</v>
      </c>
    </row>
    <row r="5" spans="2:15">
      <c r="B5" s="2">
        <f>'data 2'!C8</f>
        <v>0</v>
      </c>
      <c r="C5" s="2">
        <f>data!$J$6</f>
        <v>0</v>
      </c>
      <c r="D5" s="49">
        <f>'data 2'!L3</f>
        <v>0</v>
      </c>
      <c r="E5" s="2">
        <f>'data 2'!M3</f>
        <v>0</v>
      </c>
      <c r="F5" s="2">
        <v>4</v>
      </c>
      <c r="G5" s="2">
        <v>1</v>
      </c>
      <c r="H5" s="2" t="e">
        <f>(235/D5)^0.5</f>
        <v>#DIV/0!</v>
      </c>
      <c r="I5" s="50" t="e">
        <f>B5/C5/28.4/H5/(F5)^0.5</f>
        <v>#DIV/0!</v>
      </c>
      <c r="J5" s="50" t="e">
        <f>MIN(D5,D5*('data 2'!K3-'data 2'!L43)/'data 2'!L43)</f>
        <v>#DIV/0!</v>
      </c>
      <c r="K5" s="50">
        <v>1</v>
      </c>
      <c r="L5" s="50" t="e">
        <f>I5*SQRT(J5/D5/K5)</f>
        <v>#DIV/0!</v>
      </c>
      <c r="M5" s="50" t="e">
        <f>MIN(IF(L5&gt;0.673,(L5-0.055*(3+G5))/L5^2+0.18*(I5-L5)/(I5-0.6),1),1)</f>
        <v>#DIV/0!</v>
      </c>
      <c r="N5" s="2" t="e">
        <f>M5*B5</f>
        <v>#DIV/0!</v>
      </c>
      <c r="O5" s="51" t="e">
        <f>N5/2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5"/>
  <sheetViews>
    <sheetView topLeftCell="A28" zoomScale="150" zoomScaleNormal="150" zoomScalePageLayoutView="150" workbookViewId="0">
      <selection activeCell="I3" sqref="I3"/>
    </sheetView>
  </sheetViews>
  <sheetFormatPr baseColWidth="10" defaultRowHeight="15" x14ac:dyDescent="0"/>
  <cols>
    <col min="9" max="9" width="14.6640625" bestFit="1" customWidth="1"/>
  </cols>
  <sheetData>
    <row r="2" spans="2:11" ht="17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5"/>
      <c r="H2" s="5"/>
      <c r="I2" s="5"/>
      <c r="K2" s="47" t="s">
        <v>41</v>
      </c>
    </row>
    <row r="3" spans="2:11">
      <c r="B3" s="2">
        <f>('data 2'!C28+'data 2'!C29+'data 2'!C30+'data 2'!C31/2)*2</f>
        <v>0</v>
      </c>
      <c r="C3" s="2">
        <f>flange!B5</f>
        <v>0</v>
      </c>
      <c r="D3" s="2">
        <f>flange!C5</f>
        <v>0</v>
      </c>
      <c r="E3" s="2">
        <f>'data 2'!M3</f>
        <v>0</v>
      </c>
      <c r="F3" s="49">
        <f>data!P6</f>
        <v>0</v>
      </c>
      <c r="G3" s="5"/>
      <c r="H3" s="5"/>
      <c r="I3" s="5"/>
      <c r="K3" s="50" t="e">
        <f>F3*((data!L6-stiffner!G15-'data 2'!L43)/'data 2'!L43)</f>
        <v>#DIV/0!</v>
      </c>
    </row>
    <row r="4" spans="2:11">
      <c r="B4" s="5"/>
      <c r="C4" s="5"/>
      <c r="D4" s="5"/>
      <c r="E4" s="5"/>
      <c r="F4" s="5"/>
      <c r="G4" s="5"/>
      <c r="H4" s="5"/>
      <c r="I4" s="5"/>
    </row>
    <row r="5" spans="2:11" ht="17">
      <c r="B5" s="21" t="s">
        <v>48</v>
      </c>
      <c r="C5" s="21" t="s">
        <v>49</v>
      </c>
      <c r="D5" s="21" t="s">
        <v>29</v>
      </c>
      <c r="E5" s="21" t="s">
        <v>30</v>
      </c>
      <c r="F5" s="21" t="s">
        <v>31</v>
      </c>
      <c r="G5" s="21" t="s">
        <v>32</v>
      </c>
      <c r="H5" s="21" t="s">
        <v>33</v>
      </c>
      <c r="I5" s="21" t="s">
        <v>34</v>
      </c>
    </row>
    <row r="6" spans="2:11">
      <c r="B6" s="21" t="s">
        <v>50</v>
      </c>
      <c r="C6" s="28">
        <f>15*D$3-'data 2'!C17</f>
        <v>0</v>
      </c>
      <c r="D6" s="28">
        <f>C6*$D$3</f>
        <v>0</v>
      </c>
      <c r="E6" s="28">
        <v>0</v>
      </c>
      <c r="F6" s="28">
        <f>D6*E6</f>
        <v>0</v>
      </c>
      <c r="G6" s="52" t="e">
        <f>$G$15-E6</f>
        <v>#DIV/0!</v>
      </c>
      <c r="H6" s="52">
        <f>D3</f>
        <v>0</v>
      </c>
      <c r="I6" s="71" t="e">
        <f>D6*H6^2/12+D6*G6^2</f>
        <v>#DIV/0!</v>
      </c>
    </row>
    <row r="7" spans="2:11">
      <c r="B7" s="65">
        <v>2</v>
      </c>
      <c r="C7" s="66">
        <f>'data 2'!C31</f>
        <v>0</v>
      </c>
      <c r="D7" s="66">
        <f t="shared" ref="D7:D14" si="0">C7*$D$3</f>
        <v>0</v>
      </c>
      <c r="E7" s="66" t="e">
        <f>'data 2'!C25</f>
        <v>#DIV/0!</v>
      </c>
      <c r="F7" s="66" t="e">
        <f t="shared" ref="F7:F14" si="1">D7*E7</f>
        <v>#DIV/0!</v>
      </c>
      <c r="G7" s="67" t="e">
        <f t="shared" ref="G7:G14" si="2">$G$15-E7</f>
        <v>#DIV/0!</v>
      </c>
      <c r="H7" s="67"/>
      <c r="I7" s="72" t="e">
        <f>$D$3*'data 2'!E$3^3*(('data 2'!B$3+SIN('data 2'!B$3)*COS('data 2'!B$3))/2-SIN('data 2'!B$3)^2/'data 2'!B$3)+D7*G7^2</f>
        <v>#DIV/0!</v>
      </c>
    </row>
    <row r="8" spans="2:11">
      <c r="B8" s="22">
        <v>3</v>
      </c>
      <c r="C8" s="69">
        <f>'data 2'!C30</f>
        <v>0</v>
      </c>
      <c r="D8" s="69">
        <f t="shared" si="0"/>
        <v>0</v>
      </c>
      <c r="E8" s="54">
        <f>data!O6/2</f>
        <v>0</v>
      </c>
      <c r="F8" s="69">
        <f t="shared" si="1"/>
        <v>0</v>
      </c>
      <c r="G8" s="70" t="e">
        <f t="shared" si="2"/>
        <v>#DIV/0!</v>
      </c>
      <c r="H8" s="70">
        <f>'data 2'!M30</f>
        <v>0</v>
      </c>
      <c r="I8" s="73" t="e">
        <f>D8*H8^2/12+D8*G8^2</f>
        <v>#DIV/0!</v>
      </c>
    </row>
    <row r="9" spans="2:11">
      <c r="B9" s="65">
        <v>4</v>
      </c>
      <c r="C9" s="66">
        <f>'data 2'!C29</f>
        <v>0</v>
      </c>
      <c r="D9" s="66">
        <f t="shared" si="0"/>
        <v>0</v>
      </c>
      <c r="E9" s="68" t="e">
        <f>data!O6-'data 2'!C25</f>
        <v>#DIV/0!</v>
      </c>
      <c r="F9" s="66" t="e">
        <f t="shared" si="1"/>
        <v>#DIV/0!</v>
      </c>
      <c r="G9" s="67" t="e">
        <f t="shared" si="2"/>
        <v>#DIV/0!</v>
      </c>
      <c r="H9" s="67"/>
      <c r="I9" s="72" t="e">
        <f>$D$3*'data 2'!E$3^3*(('data 2'!B$3+SIN('data 2'!B$3)*COS('data 2'!B$3))/2-SIN('data 2'!B$3)^2/'data 2'!B$3)+D9*G9^2</f>
        <v>#DIV/0!</v>
      </c>
    </row>
    <row r="10" spans="2:11">
      <c r="B10" s="21">
        <v>5</v>
      </c>
      <c r="C10" s="28">
        <f>'data 2'!C28*2</f>
        <v>0</v>
      </c>
      <c r="D10" s="28">
        <f t="shared" si="0"/>
        <v>0</v>
      </c>
      <c r="E10" s="124">
        <f>data!O6</f>
        <v>0</v>
      </c>
      <c r="F10" s="28">
        <f t="shared" si="1"/>
        <v>0</v>
      </c>
      <c r="G10" s="52" t="e">
        <f t="shared" si="2"/>
        <v>#DIV/0!</v>
      </c>
      <c r="H10" s="52">
        <f>D3</f>
        <v>0</v>
      </c>
      <c r="I10" s="71" t="e">
        <f>D10*H10^2/12+D10*G10^2</f>
        <v>#DIV/0!</v>
      </c>
    </row>
    <row r="11" spans="2:11">
      <c r="B11" s="65">
        <v>6</v>
      </c>
      <c r="C11" s="66">
        <f>'data 2'!C29</f>
        <v>0</v>
      </c>
      <c r="D11" s="66">
        <f t="shared" si="0"/>
        <v>0</v>
      </c>
      <c r="E11" s="68" t="e">
        <f>E9</f>
        <v>#DIV/0!</v>
      </c>
      <c r="F11" s="66" t="e">
        <f t="shared" si="1"/>
        <v>#DIV/0!</v>
      </c>
      <c r="G11" s="67" t="e">
        <f t="shared" si="2"/>
        <v>#DIV/0!</v>
      </c>
      <c r="H11" s="67"/>
      <c r="I11" s="72" t="e">
        <f>I9</f>
        <v>#DIV/0!</v>
      </c>
    </row>
    <row r="12" spans="2:11">
      <c r="B12" s="21">
        <v>7</v>
      </c>
      <c r="C12" s="69">
        <f>'data 2'!C30</f>
        <v>0</v>
      </c>
      <c r="D12" s="28">
        <f t="shared" si="0"/>
        <v>0</v>
      </c>
      <c r="E12" s="55">
        <f>E8</f>
        <v>0</v>
      </c>
      <c r="F12" s="28">
        <f t="shared" si="1"/>
        <v>0</v>
      </c>
      <c r="G12" s="52" t="e">
        <f t="shared" si="2"/>
        <v>#DIV/0!</v>
      </c>
      <c r="H12" s="52">
        <f>H8</f>
        <v>0</v>
      </c>
      <c r="I12" s="71" t="e">
        <f>D12*H12^2/12+D12*G12^2</f>
        <v>#DIV/0!</v>
      </c>
    </row>
    <row r="13" spans="2:11">
      <c r="B13" s="65">
        <v>8</v>
      </c>
      <c r="C13" s="66">
        <f>'data 2'!C31</f>
        <v>0</v>
      </c>
      <c r="D13" s="66">
        <f t="shared" si="0"/>
        <v>0</v>
      </c>
      <c r="E13" s="68" t="e">
        <f>E7</f>
        <v>#DIV/0!</v>
      </c>
      <c r="F13" s="66" t="e">
        <f t="shared" si="1"/>
        <v>#DIV/0!</v>
      </c>
      <c r="G13" s="67" t="e">
        <f t="shared" si="2"/>
        <v>#DIV/0!</v>
      </c>
      <c r="H13" s="67"/>
      <c r="I13" s="72" t="e">
        <f>$D$3*'data 2'!E$3^3*(('data 2'!B$3+SIN('data 2'!B$3)*COS('data 2'!B$3))/2-SIN('data 2'!B$3)^2/'data 2'!B$3)+D13*G13^2</f>
        <v>#DIV/0!</v>
      </c>
    </row>
    <row r="14" spans="2:11">
      <c r="B14" s="21" t="s">
        <v>51</v>
      </c>
      <c r="C14" s="28">
        <f>C6</f>
        <v>0</v>
      </c>
      <c r="D14" s="28">
        <f t="shared" si="0"/>
        <v>0</v>
      </c>
      <c r="E14" s="28">
        <f>E6</f>
        <v>0</v>
      </c>
      <c r="F14" s="28">
        <f t="shared" si="1"/>
        <v>0</v>
      </c>
      <c r="G14" s="52" t="e">
        <f t="shared" si="2"/>
        <v>#DIV/0!</v>
      </c>
      <c r="H14" s="52">
        <f>H6</f>
        <v>0</v>
      </c>
      <c r="I14" s="71" t="e">
        <f>D14*H14^2/12+D14*G14^2</f>
        <v>#DIV/0!</v>
      </c>
    </row>
    <row r="15" spans="2:11">
      <c r="B15" s="56" t="s">
        <v>52</v>
      </c>
      <c r="C15" s="55"/>
      <c r="D15" s="57">
        <f>SUM(D6:D14)</f>
        <v>0</v>
      </c>
      <c r="E15" s="58"/>
      <c r="F15" s="28" t="e">
        <f>SUM(F6:F14)</f>
        <v>#DIV/0!</v>
      </c>
      <c r="G15" s="58" t="e">
        <f>F15/D15</f>
        <v>#DIV/0!</v>
      </c>
      <c r="H15" s="58"/>
      <c r="I15" s="71" t="e">
        <f>SUM(I6:I14)</f>
        <v>#DIV/0!</v>
      </c>
    </row>
    <row r="16" spans="2:11">
      <c r="B16" s="59"/>
      <c r="C16" s="59"/>
      <c r="D16" s="59"/>
      <c r="E16" s="59"/>
      <c r="F16" s="59"/>
      <c r="G16" s="59"/>
      <c r="H16" s="60"/>
      <c r="I16" s="60"/>
    </row>
    <row r="17" spans="2:9" ht="17">
      <c r="B17" s="21" t="s">
        <v>48</v>
      </c>
      <c r="C17" s="21" t="s">
        <v>49</v>
      </c>
      <c r="D17" s="21" t="s">
        <v>29</v>
      </c>
      <c r="E17" s="21"/>
      <c r="F17" s="21"/>
      <c r="G17" s="21"/>
      <c r="H17" s="21"/>
      <c r="I17" s="21"/>
    </row>
    <row r="18" spans="2:9">
      <c r="B18" s="21" t="s">
        <v>50</v>
      </c>
      <c r="C18" s="28" t="e">
        <f>flange!O5-'data 2'!C17</f>
        <v>#DIV/0!</v>
      </c>
      <c r="D18" s="28" t="e">
        <f>C18*$D$3</f>
        <v>#DIV/0!</v>
      </c>
      <c r="E18" s="28"/>
      <c r="F18" s="28"/>
      <c r="G18" s="52"/>
      <c r="H18" s="52"/>
      <c r="I18" s="26"/>
    </row>
    <row r="19" spans="2:9">
      <c r="B19" s="21">
        <v>2</v>
      </c>
      <c r="C19" s="28">
        <f>C7</f>
        <v>0</v>
      </c>
      <c r="D19" s="28">
        <f t="shared" ref="D19:D26" si="3">C19*$D$3</f>
        <v>0</v>
      </c>
      <c r="E19" s="28"/>
      <c r="F19" s="28"/>
      <c r="G19" s="52"/>
      <c r="H19" s="52"/>
      <c r="I19" s="53"/>
    </row>
    <row r="20" spans="2:9">
      <c r="B20" s="21">
        <v>3</v>
      </c>
      <c r="C20" s="28">
        <f t="shared" ref="C20:C25" si="4">C8</f>
        <v>0</v>
      </c>
      <c r="D20" s="28">
        <f t="shared" si="3"/>
        <v>0</v>
      </c>
      <c r="E20" s="54"/>
      <c r="F20" s="28"/>
      <c r="G20" s="52"/>
      <c r="H20" s="52"/>
      <c r="I20" s="2"/>
    </row>
    <row r="21" spans="2:9">
      <c r="B21" s="21">
        <v>4</v>
      </c>
      <c r="C21" s="28">
        <f t="shared" si="4"/>
        <v>0</v>
      </c>
      <c r="D21" s="28">
        <f t="shared" si="3"/>
        <v>0</v>
      </c>
      <c r="E21" s="55"/>
      <c r="F21" s="28"/>
      <c r="G21" s="52"/>
      <c r="H21" s="52"/>
      <c r="I21" s="53"/>
    </row>
    <row r="22" spans="2:9">
      <c r="B22" s="21">
        <v>5</v>
      </c>
      <c r="C22" s="28">
        <f t="shared" si="4"/>
        <v>0</v>
      </c>
      <c r="D22" s="28">
        <f t="shared" si="3"/>
        <v>0</v>
      </c>
      <c r="E22" s="54"/>
      <c r="F22" s="28"/>
      <c r="G22" s="52"/>
      <c r="H22" s="52"/>
      <c r="I22" s="2"/>
    </row>
    <row r="23" spans="2:9">
      <c r="B23" s="21">
        <v>6</v>
      </c>
      <c r="C23" s="28">
        <f t="shared" si="4"/>
        <v>0</v>
      </c>
      <c r="D23" s="28">
        <f t="shared" si="3"/>
        <v>0</v>
      </c>
      <c r="E23" s="55"/>
      <c r="F23" s="28"/>
      <c r="G23" s="52"/>
      <c r="H23" s="52"/>
      <c r="I23" s="53"/>
    </row>
    <row r="24" spans="2:9">
      <c r="B24" s="21">
        <v>7</v>
      </c>
      <c r="C24" s="28">
        <f t="shared" si="4"/>
        <v>0</v>
      </c>
      <c r="D24" s="28">
        <f>C24*$D$3</f>
        <v>0</v>
      </c>
      <c r="E24" s="55"/>
      <c r="F24" s="28"/>
      <c r="G24" s="52"/>
      <c r="H24" s="52"/>
      <c r="I24" s="53"/>
    </row>
    <row r="25" spans="2:9">
      <c r="B25" s="21">
        <v>8</v>
      </c>
      <c r="C25" s="28">
        <f t="shared" si="4"/>
        <v>0</v>
      </c>
      <c r="D25" s="28">
        <f t="shared" si="3"/>
        <v>0</v>
      </c>
      <c r="E25" s="55"/>
      <c r="F25" s="28"/>
      <c r="G25" s="52"/>
      <c r="H25" s="52"/>
      <c r="I25" s="53"/>
    </row>
    <row r="26" spans="2:9">
      <c r="B26" s="21" t="s">
        <v>51</v>
      </c>
      <c r="C26" s="28" t="e">
        <f>C18</f>
        <v>#DIV/0!</v>
      </c>
      <c r="D26" s="28" t="e">
        <f t="shared" si="3"/>
        <v>#DIV/0!</v>
      </c>
      <c r="E26" s="28"/>
      <c r="F26" s="28"/>
      <c r="G26" s="52"/>
      <c r="H26" s="52"/>
      <c r="I26" s="61"/>
    </row>
    <row r="27" spans="2:9">
      <c r="B27" s="56" t="s">
        <v>52</v>
      </c>
      <c r="C27" s="55"/>
      <c r="D27" s="57" t="e">
        <f>SUM(D18:D26)</f>
        <v>#DIV/0!</v>
      </c>
      <c r="E27" s="58"/>
      <c r="F27" s="28"/>
      <c r="G27" s="58"/>
      <c r="H27" s="58"/>
      <c r="I27" s="2"/>
    </row>
    <row r="28" spans="2:9">
      <c r="B28" s="59"/>
      <c r="C28" s="59"/>
      <c r="D28" s="59"/>
      <c r="E28" s="59"/>
      <c r="F28" s="59"/>
      <c r="G28" s="59"/>
      <c r="H28" s="60"/>
      <c r="I28" s="60"/>
    </row>
    <row r="29" spans="2:9">
      <c r="B29" s="59"/>
      <c r="C29" s="59"/>
      <c r="D29" s="59"/>
      <c r="E29" s="59"/>
      <c r="F29" s="59"/>
      <c r="G29" s="59"/>
      <c r="H29" s="60"/>
      <c r="I29" s="60"/>
    </row>
    <row r="30" spans="2:9" ht="17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>
      <c r="B31" s="2">
        <f>2*C3+B3</f>
        <v>0</v>
      </c>
      <c r="C31" s="2"/>
      <c r="D31" s="2">
        <f>'data 2'!K3</f>
        <v>0</v>
      </c>
      <c r="E31" s="2" t="e">
        <f>'data 2'!N3</f>
        <v>#DIV/0!</v>
      </c>
      <c r="F31" s="2" t="e">
        <f>3.07*(I15*C3^2*(2*C3+3*B3)/D3^3)^0.25</f>
        <v>#DIV/0!</v>
      </c>
      <c r="G31" s="2" t="e">
        <f>F31/E31</f>
        <v>#DIV/0!</v>
      </c>
      <c r="H31" s="2" t="e">
        <f>((E31+2*B31)/(E31+0.5*B31))^0.5</f>
        <v>#DIV/0!</v>
      </c>
      <c r="I31" s="62" t="e">
        <f>IF(G31&gt;2,H31,(H31-(H31-1)*(2*F31/E31-(F31/E31)^2)))</f>
        <v>#DIV/0!</v>
      </c>
    </row>
    <row r="32" spans="2:9">
      <c r="B32" s="5"/>
      <c r="C32" s="5"/>
      <c r="D32" s="5"/>
      <c r="E32" s="5"/>
      <c r="F32" s="5"/>
      <c r="G32" s="5"/>
      <c r="H32" s="5"/>
      <c r="I32" s="5"/>
    </row>
    <row r="33" spans="2:9" ht="17">
      <c r="B33" s="1" t="s">
        <v>60</v>
      </c>
      <c r="C33" s="5"/>
      <c r="D33" s="5"/>
      <c r="E33" s="5"/>
      <c r="F33" s="5"/>
      <c r="G33" s="5"/>
      <c r="H33" s="5"/>
      <c r="I33" s="5"/>
    </row>
    <row r="34" spans="2:9">
      <c r="B34" s="2" t="e">
        <f>4.2*I31*E3/D27*(I15*D3^3/4/C3^2/(2*C3+3*B3))^0.5</f>
        <v>#DIV/0!</v>
      </c>
      <c r="C34" s="5"/>
      <c r="D34" s="5"/>
      <c r="E34" s="5"/>
      <c r="F34" s="5"/>
      <c r="G34" s="5"/>
      <c r="H34" s="5"/>
      <c r="I34" s="5"/>
    </row>
    <row r="36" spans="2:9" ht="17">
      <c r="B36" s="1" t="s">
        <v>2</v>
      </c>
      <c r="C36" s="1" t="s">
        <v>61</v>
      </c>
      <c r="D36" s="1" t="s">
        <v>62</v>
      </c>
      <c r="E36" s="1" t="s">
        <v>63</v>
      </c>
    </row>
    <row r="37" spans="2:9">
      <c r="B37" s="53">
        <f>'data 2'!L3</f>
        <v>0</v>
      </c>
      <c r="C37" s="50" t="e">
        <f>(B37/B34)^0.5</f>
        <v>#DIV/0!</v>
      </c>
      <c r="D37" s="75" t="e">
        <f>IF(C37&lt;0.65,1,(1.47-0.723*C37))</f>
        <v>#DIV/0!</v>
      </c>
      <c r="E37" s="75" t="e">
        <f>IF(C37&gt;1.38,0.66/C37,D37)</f>
        <v>#DIV/0!</v>
      </c>
    </row>
    <row r="39" spans="2:9" ht="17">
      <c r="B39" s="2" t="s">
        <v>64</v>
      </c>
      <c r="C39" s="21" t="s">
        <v>65</v>
      </c>
      <c r="E39" t="s">
        <v>66</v>
      </c>
    </row>
    <row r="40" spans="2:9">
      <c r="B40" s="63" t="e">
        <f>E37</f>
        <v>#DIV/0!</v>
      </c>
      <c r="C40" s="28" t="e">
        <f>B40*D3*B37/flange!J5/flange!K5</f>
        <v>#DIV/0!</v>
      </c>
      <c r="E40" s="23" t="e">
        <f>B37/flange!K5/flange!J5</f>
        <v>#DIV/0!</v>
      </c>
      <c r="G40" s="64" t="e">
        <f>B40*E40</f>
        <v>#DIV/0!</v>
      </c>
    </row>
    <row r="43" spans="2:9" ht="17">
      <c r="B43" s="1" t="s">
        <v>4</v>
      </c>
      <c r="C43" s="21" t="s">
        <v>159</v>
      </c>
      <c r="D43" s="21" t="s">
        <v>29</v>
      </c>
      <c r="E43" s="21"/>
      <c r="F43" s="21"/>
      <c r="G43" s="21"/>
      <c r="H43" s="22"/>
      <c r="I43" s="21"/>
    </row>
    <row r="44" spans="2:9">
      <c r="B44" s="133" t="s">
        <v>168</v>
      </c>
      <c r="C44" s="139" t="e">
        <f>C18</f>
        <v>#DIV/0!</v>
      </c>
      <c r="D44" s="139" t="e">
        <f>D18</f>
        <v>#DIV/0!</v>
      </c>
      <c r="E44" s="135"/>
      <c r="F44" s="135"/>
      <c r="G44" s="135"/>
      <c r="H44" s="140"/>
      <c r="I44" s="140"/>
    </row>
    <row r="45" spans="2:9" ht="17">
      <c r="B45" s="133" t="s">
        <v>160</v>
      </c>
      <c r="C45" s="139">
        <f t="shared" ref="C45:D45" si="5">C19</f>
        <v>0</v>
      </c>
      <c r="D45" s="139">
        <f t="shared" si="5"/>
        <v>0</v>
      </c>
      <c r="E45" s="135"/>
      <c r="F45" s="135"/>
      <c r="G45" s="135"/>
      <c r="H45" s="140"/>
      <c r="I45" s="140"/>
    </row>
    <row r="46" spans="2:9">
      <c r="B46" s="75">
        <v>2</v>
      </c>
      <c r="C46" s="139">
        <f t="shared" ref="C46:D46" si="6">C20</f>
        <v>0</v>
      </c>
      <c r="D46" s="139">
        <f t="shared" si="6"/>
        <v>0</v>
      </c>
      <c r="E46" s="135"/>
      <c r="F46" s="135"/>
      <c r="G46" s="135"/>
      <c r="H46" s="140"/>
      <c r="I46" s="140"/>
    </row>
    <row r="47" spans="2:9" ht="17">
      <c r="B47" s="133" t="s">
        <v>161</v>
      </c>
      <c r="C47" s="139">
        <f t="shared" ref="C47:D47" si="7">C21</f>
        <v>0</v>
      </c>
      <c r="D47" s="139">
        <f t="shared" si="7"/>
        <v>0</v>
      </c>
      <c r="E47" s="135"/>
      <c r="F47" s="135"/>
      <c r="G47" s="135"/>
      <c r="H47" s="140"/>
      <c r="I47" s="140"/>
    </row>
    <row r="48" spans="2:9">
      <c r="B48" s="133">
        <v>2</v>
      </c>
      <c r="C48" s="139">
        <f>C22</f>
        <v>0</v>
      </c>
      <c r="D48" s="139">
        <f t="shared" ref="D48" si="8">D22</f>
        <v>0</v>
      </c>
      <c r="E48" s="135"/>
      <c r="F48" s="135"/>
      <c r="G48" s="135"/>
      <c r="H48" s="140"/>
      <c r="I48" s="140"/>
    </row>
    <row r="49" spans="2:9" ht="17">
      <c r="B49" s="133" t="s">
        <v>161</v>
      </c>
      <c r="C49" s="139">
        <f t="shared" ref="C49:D49" si="9">C23</f>
        <v>0</v>
      </c>
      <c r="D49" s="139">
        <f t="shared" si="9"/>
        <v>0</v>
      </c>
      <c r="E49" s="135"/>
      <c r="F49" s="135"/>
      <c r="G49" s="135"/>
      <c r="H49" s="140"/>
      <c r="I49" s="140"/>
    </row>
    <row r="50" spans="2:9">
      <c r="B50" s="133">
        <v>2</v>
      </c>
      <c r="C50" s="139">
        <f t="shared" ref="C50:D50" si="10">C24</f>
        <v>0</v>
      </c>
      <c r="D50" s="139">
        <f t="shared" si="10"/>
        <v>0</v>
      </c>
      <c r="E50" s="135"/>
      <c r="F50" s="135"/>
      <c r="G50" s="135"/>
      <c r="H50" s="140"/>
      <c r="I50" s="140"/>
    </row>
    <row r="51" spans="2:9" ht="17">
      <c r="B51" s="133" t="s">
        <v>160</v>
      </c>
      <c r="C51" s="139">
        <f t="shared" ref="C51:D51" si="11">C25</f>
        <v>0</v>
      </c>
      <c r="D51" s="139">
        <f t="shared" si="11"/>
        <v>0</v>
      </c>
      <c r="E51" s="135"/>
      <c r="F51" s="135"/>
      <c r="G51" s="135"/>
      <c r="H51" s="140"/>
      <c r="I51" s="140"/>
    </row>
    <row r="52" spans="2:9">
      <c r="B52" s="133" t="s">
        <v>168</v>
      </c>
      <c r="C52" s="139" t="e">
        <f t="shared" ref="C52:D52" si="12">C26</f>
        <v>#DIV/0!</v>
      </c>
      <c r="D52" s="139" t="e">
        <f t="shared" si="12"/>
        <v>#DIV/0!</v>
      </c>
      <c r="E52" s="135"/>
      <c r="F52" s="135"/>
      <c r="G52" s="135"/>
      <c r="H52" s="140"/>
      <c r="I52" s="140"/>
    </row>
    <row r="53" spans="2:9">
      <c r="B53" s="89" t="s">
        <v>164</v>
      </c>
      <c r="D53" s="134" t="e">
        <f>SUM(D44:D52)</f>
        <v>#DIV/0!</v>
      </c>
      <c r="E53" s="136"/>
      <c r="F53" s="135"/>
      <c r="G53" s="141"/>
      <c r="H53" s="140"/>
      <c r="I53" s="140"/>
    </row>
    <row r="55" spans="2:9" ht="17">
      <c r="B55" s="1" t="s">
        <v>4</v>
      </c>
      <c r="C55" s="21" t="s">
        <v>159</v>
      </c>
      <c r="D55" s="21" t="s">
        <v>29</v>
      </c>
      <c r="E55" s="21" t="s">
        <v>30</v>
      </c>
      <c r="F55" s="21" t="s">
        <v>31</v>
      </c>
      <c r="G55" s="21" t="s">
        <v>32</v>
      </c>
      <c r="H55" s="22" t="s">
        <v>33</v>
      </c>
      <c r="I55" s="21" t="s">
        <v>34</v>
      </c>
    </row>
    <row r="56" spans="2:9">
      <c r="B56" s="133" t="s">
        <v>168</v>
      </c>
      <c r="C56" s="139">
        <f>C6</f>
        <v>0</v>
      </c>
      <c r="D56" s="139">
        <f t="shared" ref="D56:I56" si="13">D6</f>
        <v>0</v>
      </c>
      <c r="E56" s="139">
        <f t="shared" si="13"/>
        <v>0</v>
      </c>
      <c r="F56" s="139">
        <f t="shared" si="13"/>
        <v>0</v>
      </c>
      <c r="G56" s="139" t="e">
        <f t="shared" si="13"/>
        <v>#DIV/0!</v>
      </c>
      <c r="H56" s="139">
        <f t="shared" si="13"/>
        <v>0</v>
      </c>
      <c r="I56" s="139" t="e">
        <f t="shared" si="13"/>
        <v>#DIV/0!</v>
      </c>
    </row>
    <row r="57" spans="2:9" ht="17">
      <c r="B57" s="133" t="s">
        <v>160</v>
      </c>
      <c r="C57" s="139">
        <f t="shared" ref="C57:I64" si="14">C7</f>
        <v>0</v>
      </c>
      <c r="D57" s="139">
        <f t="shared" si="14"/>
        <v>0</v>
      </c>
      <c r="E57" s="139" t="e">
        <f t="shared" si="14"/>
        <v>#DIV/0!</v>
      </c>
      <c r="F57" s="139" t="e">
        <f t="shared" si="14"/>
        <v>#DIV/0!</v>
      </c>
      <c r="G57" s="139" t="e">
        <f t="shared" si="14"/>
        <v>#DIV/0!</v>
      </c>
      <c r="H57" s="139">
        <f t="shared" si="14"/>
        <v>0</v>
      </c>
      <c r="I57" s="139" t="e">
        <f t="shared" si="14"/>
        <v>#DIV/0!</v>
      </c>
    </row>
    <row r="58" spans="2:9">
      <c r="B58" s="75">
        <v>2</v>
      </c>
      <c r="C58" s="139">
        <f t="shared" si="14"/>
        <v>0</v>
      </c>
      <c r="D58" s="139">
        <f t="shared" si="14"/>
        <v>0</v>
      </c>
      <c r="E58" s="139">
        <f t="shared" si="14"/>
        <v>0</v>
      </c>
      <c r="F58" s="139">
        <f t="shared" si="14"/>
        <v>0</v>
      </c>
      <c r="G58" s="139" t="e">
        <f t="shared" si="14"/>
        <v>#DIV/0!</v>
      </c>
      <c r="H58" s="139">
        <f t="shared" si="14"/>
        <v>0</v>
      </c>
      <c r="I58" s="139" t="e">
        <f t="shared" si="14"/>
        <v>#DIV/0!</v>
      </c>
    </row>
    <row r="59" spans="2:9" ht="17">
      <c r="B59" s="133" t="s">
        <v>161</v>
      </c>
      <c r="C59" s="139">
        <f t="shared" si="14"/>
        <v>0</v>
      </c>
      <c r="D59" s="139">
        <f t="shared" si="14"/>
        <v>0</v>
      </c>
      <c r="E59" s="139" t="e">
        <f t="shared" si="14"/>
        <v>#DIV/0!</v>
      </c>
      <c r="F59" s="139" t="e">
        <f t="shared" si="14"/>
        <v>#DIV/0!</v>
      </c>
      <c r="G59" s="139" t="e">
        <f t="shared" si="14"/>
        <v>#DIV/0!</v>
      </c>
      <c r="H59" s="139">
        <f t="shared" si="14"/>
        <v>0</v>
      </c>
      <c r="I59" s="139" t="e">
        <f t="shared" si="14"/>
        <v>#DIV/0!</v>
      </c>
    </row>
    <row r="60" spans="2:9">
      <c r="B60" s="133">
        <v>2</v>
      </c>
      <c r="C60" s="139">
        <f t="shared" si="14"/>
        <v>0</v>
      </c>
      <c r="D60" s="139">
        <f t="shared" si="14"/>
        <v>0</v>
      </c>
      <c r="E60" s="139">
        <f t="shared" si="14"/>
        <v>0</v>
      </c>
      <c r="F60" s="139">
        <f t="shared" si="14"/>
        <v>0</v>
      </c>
      <c r="G60" s="139" t="e">
        <f t="shared" si="14"/>
        <v>#DIV/0!</v>
      </c>
      <c r="H60" s="139">
        <f t="shared" si="14"/>
        <v>0</v>
      </c>
      <c r="I60" s="139" t="e">
        <f t="shared" si="14"/>
        <v>#DIV/0!</v>
      </c>
    </row>
    <row r="61" spans="2:9" ht="17">
      <c r="B61" s="133" t="s">
        <v>161</v>
      </c>
      <c r="C61" s="139">
        <f t="shared" si="14"/>
        <v>0</v>
      </c>
      <c r="D61" s="139">
        <f t="shared" si="14"/>
        <v>0</v>
      </c>
      <c r="E61" s="139" t="e">
        <f t="shared" si="14"/>
        <v>#DIV/0!</v>
      </c>
      <c r="F61" s="139" t="e">
        <f t="shared" si="14"/>
        <v>#DIV/0!</v>
      </c>
      <c r="G61" s="139" t="e">
        <f t="shared" si="14"/>
        <v>#DIV/0!</v>
      </c>
      <c r="H61" s="139">
        <f t="shared" si="14"/>
        <v>0</v>
      </c>
      <c r="I61" s="139" t="e">
        <f t="shared" si="14"/>
        <v>#DIV/0!</v>
      </c>
    </row>
    <row r="62" spans="2:9">
      <c r="B62" s="133">
        <v>2</v>
      </c>
      <c r="C62" s="139">
        <f t="shared" si="14"/>
        <v>0</v>
      </c>
      <c r="D62" s="139">
        <f t="shared" si="14"/>
        <v>0</v>
      </c>
      <c r="E62" s="139">
        <f t="shared" si="14"/>
        <v>0</v>
      </c>
      <c r="F62" s="139">
        <f t="shared" si="14"/>
        <v>0</v>
      </c>
      <c r="G62" s="139" t="e">
        <f t="shared" si="14"/>
        <v>#DIV/0!</v>
      </c>
      <c r="H62" s="139">
        <f t="shared" si="14"/>
        <v>0</v>
      </c>
      <c r="I62" s="139" t="e">
        <f t="shared" si="14"/>
        <v>#DIV/0!</v>
      </c>
    </row>
    <row r="63" spans="2:9" ht="17">
      <c r="B63" s="133" t="s">
        <v>160</v>
      </c>
      <c r="C63" s="139">
        <f t="shared" si="14"/>
        <v>0</v>
      </c>
      <c r="D63" s="139">
        <f t="shared" si="14"/>
        <v>0</v>
      </c>
      <c r="E63" s="139" t="e">
        <f t="shared" si="14"/>
        <v>#DIV/0!</v>
      </c>
      <c r="F63" s="139" t="e">
        <f t="shared" si="14"/>
        <v>#DIV/0!</v>
      </c>
      <c r="G63" s="139" t="e">
        <f t="shared" si="14"/>
        <v>#DIV/0!</v>
      </c>
      <c r="H63" s="139">
        <f t="shared" si="14"/>
        <v>0</v>
      </c>
      <c r="I63" s="139" t="e">
        <f t="shared" si="14"/>
        <v>#DIV/0!</v>
      </c>
    </row>
    <row r="64" spans="2:9">
      <c r="B64" s="133" t="s">
        <v>168</v>
      </c>
      <c r="C64" s="139">
        <f t="shared" si="14"/>
        <v>0</v>
      </c>
      <c r="D64" s="139">
        <f t="shared" si="14"/>
        <v>0</v>
      </c>
      <c r="E64" s="139">
        <f t="shared" si="14"/>
        <v>0</v>
      </c>
      <c r="F64" s="139">
        <f t="shared" si="14"/>
        <v>0</v>
      </c>
      <c r="G64" s="139" t="e">
        <f t="shared" si="14"/>
        <v>#DIV/0!</v>
      </c>
      <c r="H64" s="139">
        <f t="shared" si="14"/>
        <v>0</v>
      </c>
      <c r="I64" s="139" t="e">
        <f t="shared" si="14"/>
        <v>#DIV/0!</v>
      </c>
    </row>
    <row r="65" spans="2:9">
      <c r="B65" s="89" t="s">
        <v>164</v>
      </c>
      <c r="D65" s="134">
        <f>SUM(D56:D64)</f>
        <v>0</v>
      </c>
      <c r="E65" s="136"/>
      <c r="F65" s="134" t="e">
        <f>SUM(F56:F64)</f>
        <v>#DIV/0!</v>
      </c>
      <c r="G65" s="139" t="e">
        <f>F65/D65</f>
        <v>#DIV/0!</v>
      </c>
      <c r="H65" s="136"/>
      <c r="I65" s="134" t="e">
        <f>SUM(I56:I64)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I3" sqref="I3"/>
    </sheetView>
  </sheetViews>
  <sheetFormatPr baseColWidth="10" defaultRowHeight="15" x14ac:dyDescent="0"/>
  <cols>
    <col min="2" max="2" width="5" customWidth="1"/>
    <col min="3" max="3" width="5.83203125" customWidth="1"/>
    <col min="6" max="6" width="5.6640625" customWidth="1"/>
    <col min="7" max="7" width="9.1640625" customWidth="1"/>
    <col min="8" max="8" width="7" customWidth="1"/>
    <col min="9" max="9" width="5.33203125" customWidth="1"/>
    <col min="10" max="10" width="7.83203125" customWidth="1"/>
    <col min="11" max="11" width="7.1640625" customWidth="1"/>
    <col min="12" max="12" width="6.6640625" customWidth="1"/>
    <col min="13" max="13" width="6.5" customWidth="1"/>
    <col min="14" max="14" width="8.1640625" customWidth="1"/>
    <col min="15" max="15" width="7.1640625" customWidth="1"/>
  </cols>
  <sheetData>
    <row r="2" spans="2: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7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45" t="s">
        <v>38</v>
      </c>
      <c r="H4" s="46" t="s">
        <v>39</v>
      </c>
      <c r="I4" s="1" t="s">
        <v>40</v>
      </c>
      <c r="J4" s="47" t="s">
        <v>41</v>
      </c>
      <c r="K4" s="48" t="s">
        <v>42</v>
      </c>
      <c r="L4" s="1" t="s">
        <v>43</v>
      </c>
      <c r="M4" s="1" t="s">
        <v>44</v>
      </c>
      <c r="N4" s="3" t="s">
        <v>45</v>
      </c>
      <c r="O4" s="3" t="s">
        <v>46</v>
      </c>
    </row>
    <row r="5" spans="2:15">
      <c r="B5" s="2">
        <f>flange!B5</f>
        <v>0</v>
      </c>
      <c r="C5" s="2">
        <f>flange!C5</f>
        <v>0</v>
      </c>
      <c r="D5" s="2">
        <f>flange!D5</f>
        <v>0</v>
      </c>
      <c r="E5" s="2">
        <f>flange!E5</f>
        <v>0</v>
      </c>
      <c r="F5" s="2">
        <v>4</v>
      </c>
      <c r="G5" s="2">
        <v>1</v>
      </c>
      <c r="H5" s="2" t="e">
        <f>(235/D5)^0.5</f>
        <v>#DIV/0!</v>
      </c>
      <c r="I5" s="50" t="e">
        <f>B5/C5/28.4/H5/(F5)^0.5</f>
        <v>#DIV/0!</v>
      </c>
      <c r="J5" s="81" t="e">
        <f>MIN(D5*stiffner!B40,flange!J5)</f>
        <v>#DIV/0!</v>
      </c>
      <c r="K5" s="50">
        <v>1</v>
      </c>
      <c r="L5" s="50" t="e">
        <f>I5*SQRT(J5/D5/K5)</f>
        <v>#DIV/0!</v>
      </c>
      <c r="M5" s="50" t="e">
        <f>MIN(IF(L5&gt;0.673,(L5-0.055*(3+G5))/L5^2+0.18*(I5-L5)/(I5-0.6),1),1)</f>
        <v>#DIV/0!</v>
      </c>
      <c r="N5" s="2" t="e">
        <f>M5*B5</f>
        <v>#DIV/0!</v>
      </c>
      <c r="O5" s="51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topLeftCell="A8" workbookViewId="0">
      <selection activeCell="I3" sqref="I3"/>
    </sheetView>
  </sheetViews>
  <sheetFormatPr baseColWidth="10" defaultRowHeight="15" x14ac:dyDescent="0"/>
  <cols>
    <col min="9" max="9" width="14.6640625" bestFit="1" customWidth="1"/>
  </cols>
  <sheetData>
    <row r="2" spans="2:11" ht="17">
      <c r="B2" s="1" t="s">
        <v>47</v>
      </c>
      <c r="C2" s="1" t="s">
        <v>36</v>
      </c>
      <c r="D2" s="1" t="s">
        <v>1</v>
      </c>
      <c r="E2" s="1" t="s">
        <v>3</v>
      </c>
      <c r="F2" s="1" t="s">
        <v>2</v>
      </c>
      <c r="G2" s="5"/>
      <c r="H2" s="5"/>
      <c r="I2" s="5"/>
      <c r="K2" s="47" t="s">
        <v>41</v>
      </c>
    </row>
    <row r="3" spans="2:11">
      <c r="B3" s="2">
        <f>stiffner!B3</f>
        <v>0</v>
      </c>
      <c r="C3" s="2">
        <f>stiffner!C3</f>
        <v>0</v>
      </c>
      <c r="D3" s="2">
        <f>stiffner!D3</f>
        <v>0</v>
      </c>
      <c r="E3" s="2">
        <f>stiffner!E3</f>
        <v>0</v>
      </c>
      <c r="F3" s="49">
        <f>data!P6</f>
        <v>0</v>
      </c>
      <c r="G3" s="5"/>
      <c r="H3" s="5"/>
      <c r="I3" s="5"/>
      <c r="K3" s="50" t="e">
        <f>F3*((data!L6-stiffner!G15-'data 2'!L43)/'data 2'!L43)</f>
        <v>#DIV/0!</v>
      </c>
    </row>
    <row r="4" spans="2:11">
      <c r="B4" s="5"/>
      <c r="C4" s="5"/>
      <c r="D4" s="5"/>
      <c r="E4" s="5"/>
      <c r="F4" s="5"/>
      <c r="G4" s="5"/>
      <c r="H4" s="5"/>
      <c r="I4" s="5"/>
    </row>
    <row r="5" spans="2:11" ht="17">
      <c r="B5" s="21" t="s">
        <v>48</v>
      </c>
      <c r="C5" s="21" t="s">
        <v>49</v>
      </c>
      <c r="D5" s="21" t="s">
        <v>29</v>
      </c>
      <c r="E5" s="21" t="s">
        <v>30</v>
      </c>
      <c r="F5" s="21" t="s">
        <v>31</v>
      </c>
      <c r="G5" s="21" t="s">
        <v>32</v>
      </c>
      <c r="H5" s="21" t="s">
        <v>33</v>
      </c>
      <c r="I5" s="21" t="s">
        <v>34</v>
      </c>
    </row>
    <row r="6" spans="2:11">
      <c r="B6" s="21" t="s">
        <v>50</v>
      </c>
      <c r="C6" s="31">
        <f>stiffner!C6</f>
        <v>0</v>
      </c>
      <c r="D6" s="28">
        <f>C6*$D$3</f>
        <v>0</v>
      </c>
      <c r="E6" s="31">
        <f>stiffner!E6</f>
        <v>0</v>
      </c>
      <c r="F6" s="28">
        <f>D6*E6</f>
        <v>0</v>
      </c>
      <c r="G6" s="52" t="e">
        <f>$G$15-E6</f>
        <v>#DIV/0!</v>
      </c>
      <c r="H6" s="31">
        <f>stiffner!H6</f>
        <v>0</v>
      </c>
      <c r="I6" s="31" t="e">
        <f>stiffner!I6</f>
        <v>#DIV/0!</v>
      </c>
    </row>
    <row r="7" spans="2:11">
      <c r="B7" s="65">
        <v>2</v>
      </c>
      <c r="C7" s="76">
        <f>stiffner!C7</f>
        <v>0</v>
      </c>
      <c r="D7" s="66">
        <f t="shared" ref="D7:D14" si="0">C7*$D$3</f>
        <v>0</v>
      </c>
      <c r="E7" s="76" t="e">
        <f>stiffner!E7</f>
        <v>#DIV/0!</v>
      </c>
      <c r="F7" s="66" t="e">
        <f t="shared" ref="F7:F14" si="1">D7*E7</f>
        <v>#DIV/0!</v>
      </c>
      <c r="G7" s="67" t="e">
        <f t="shared" ref="G7:G14" si="2">$G$15-E7</f>
        <v>#DIV/0!</v>
      </c>
      <c r="H7" s="76">
        <f>stiffner!H7</f>
        <v>0</v>
      </c>
      <c r="I7" s="76" t="e">
        <f>stiffner!I7</f>
        <v>#DIV/0!</v>
      </c>
    </row>
    <row r="8" spans="2:11">
      <c r="B8" s="22">
        <v>3</v>
      </c>
      <c r="C8" s="31">
        <f>stiffner!C8</f>
        <v>0</v>
      </c>
      <c r="D8" s="69">
        <f t="shared" si="0"/>
        <v>0</v>
      </c>
      <c r="E8" s="54">
        <f>data!O6/2</f>
        <v>0</v>
      </c>
      <c r="F8" s="69">
        <f t="shared" si="1"/>
        <v>0</v>
      </c>
      <c r="G8" s="70" t="e">
        <f t="shared" si="2"/>
        <v>#DIV/0!</v>
      </c>
      <c r="H8" s="31">
        <f>stiffner!H8</f>
        <v>0</v>
      </c>
      <c r="I8" s="31" t="e">
        <f>stiffner!I8</f>
        <v>#DIV/0!</v>
      </c>
    </row>
    <row r="9" spans="2:11">
      <c r="B9" s="65">
        <v>4</v>
      </c>
      <c r="C9" s="76">
        <f>stiffner!C9</f>
        <v>0</v>
      </c>
      <c r="D9" s="66">
        <f t="shared" si="0"/>
        <v>0</v>
      </c>
      <c r="E9" s="76" t="e">
        <f>stiffner!E9</f>
        <v>#DIV/0!</v>
      </c>
      <c r="F9" s="66" t="e">
        <f t="shared" si="1"/>
        <v>#DIV/0!</v>
      </c>
      <c r="G9" s="67" t="e">
        <f t="shared" si="2"/>
        <v>#DIV/0!</v>
      </c>
      <c r="H9" s="76">
        <f>stiffner!H9</f>
        <v>0</v>
      </c>
      <c r="I9" s="76" t="e">
        <f>stiffner!I9</f>
        <v>#DIV/0!</v>
      </c>
    </row>
    <row r="10" spans="2:11">
      <c r="B10" s="21">
        <v>5</v>
      </c>
      <c r="C10" s="31">
        <f>stiffner!C10</f>
        <v>0</v>
      </c>
      <c r="D10" s="28">
        <f t="shared" si="0"/>
        <v>0</v>
      </c>
      <c r="E10" s="124">
        <f>data!O6</f>
        <v>0</v>
      </c>
      <c r="F10" s="28">
        <f t="shared" si="1"/>
        <v>0</v>
      </c>
      <c r="G10" s="52" t="e">
        <f t="shared" si="2"/>
        <v>#DIV/0!</v>
      </c>
      <c r="H10" s="31">
        <f>stiffner!H10</f>
        <v>0</v>
      </c>
      <c r="I10" s="31" t="e">
        <f>stiffner!I10</f>
        <v>#DIV/0!</v>
      </c>
    </row>
    <row r="11" spans="2:11">
      <c r="B11" s="65">
        <v>6</v>
      </c>
      <c r="C11" s="76">
        <f>stiffner!C11</f>
        <v>0</v>
      </c>
      <c r="D11" s="66">
        <f t="shared" si="0"/>
        <v>0</v>
      </c>
      <c r="E11" s="76" t="e">
        <f>stiffner!E11</f>
        <v>#DIV/0!</v>
      </c>
      <c r="F11" s="66" t="e">
        <f t="shared" si="1"/>
        <v>#DIV/0!</v>
      </c>
      <c r="G11" s="67" t="e">
        <f t="shared" si="2"/>
        <v>#DIV/0!</v>
      </c>
      <c r="H11" s="76">
        <f>stiffner!H11</f>
        <v>0</v>
      </c>
      <c r="I11" s="76" t="e">
        <f>stiffner!I11</f>
        <v>#DIV/0!</v>
      </c>
    </row>
    <row r="12" spans="2:11">
      <c r="B12" s="21">
        <v>7</v>
      </c>
      <c r="C12" s="31">
        <f>stiffner!C12</f>
        <v>0</v>
      </c>
      <c r="D12" s="28">
        <f t="shared" si="0"/>
        <v>0</v>
      </c>
      <c r="E12" s="31">
        <f>stiffner!E12</f>
        <v>0</v>
      </c>
      <c r="F12" s="28">
        <f t="shared" si="1"/>
        <v>0</v>
      </c>
      <c r="G12" s="52" t="e">
        <f t="shared" si="2"/>
        <v>#DIV/0!</v>
      </c>
      <c r="H12" s="31">
        <f>stiffner!H12</f>
        <v>0</v>
      </c>
      <c r="I12" s="31" t="e">
        <f>stiffner!I12</f>
        <v>#DIV/0!</v>
      </c>
    </row>
    <row r="13" spans="2:11">
      <c r="B13" s="65">
        <v>8</v>
      </c>
      <c r="C13" s="76">
        <f>stiffner!C13</f>
        <v>0</v>
      </c>
      <c r="D13" s="66">
        <f t="shared" si="0"/>
        <v>0</v>
      </c>
      <c r="E13" s="76" t="e">
        <f>stiffner!E13</f>
        <v>#DIV/0!</v>
      </c>
      <c r="F13" s="66" t="e">
        <f t="shared" si="1"/>
        <v>#DIV/0!</v>
      </c>
      <c r="G13" s="67" t="e">
        <f t="shared" si="2"/>
        <v>#DIV/0!</v>
      </c>
      <c r="H13" s="76">
        <f>stiffner!H13</f>
        <v>0</v>
      </c>
      <c r="I13" s="76" t="e">
        <f>stiffner!I13</f>
        <v>#DIV/0!</v>
      </c>
    </row>
    <row r="14" spans="2:11">
      <c r="B14" s="21" t="s">
        <v>51</v>
      </c>
      <c r="C14" s="31">
        <f>stiffner!C14</f>
        <v>0</v>
      </c>
      <c r="D14" s="28">
        <f t="shared" si="0"/>
        <v>0</v>
      </c>
      <c r="E14" s="31">
        <f>stiffner!E14</f>
        <v>0</v>
      </c>
      <c r="F14" s="28">
        <f t="shared" si="1"/>
        <v>0</v>
      </c>
      <c r="G14" s="52" t="e">
        <f t="shared" si="2"/>
        <v>#DIV/0!</v>
      </c>
      <c r="H14" s="31">
        <f>stiffner!H14</f>
        <v>0</v>
      </c>
      <c r="I14" s="31" t="e">
        <f>stiffner!I14</f>
        <v>#DIV/0!</v>
      </c>
    </row>
    <row r="15" spans="2:11">
      <c r="B15" s="56" t="s">
        <v>52</v>
      </c>
      <c r="C15" s="55"/>
      <c r="D15" s="57">
        <f>SUM(D6:D14)</f>
        <v>0</v>
      </c>
      <c r="E15" s="58"/>
      <c r="F15" s="28" t="e">
        <f>SUM(F6:F14)</f>
        <v>#DIV/0!</v>
      </c>
      <c r="G15" s="58" t="e">
        <f>F15/D15</f>
        <v>#DIV/0!</v>
      </c>
      <c r="H15" s="58"/>
      <c r="I15" s="71" t="e">
        <f>SUM(I6:I14)</f>
        <v>#DIV/0!</v>
      </c>
    </row>
    <row r="16" spans="2:11">
      <c r="B16" s="59"/>
      <c r="C16" s="59"/>
      <c r="D16" s="59"/>
      <c r="E16" s="59"/>
      <c r="F16" s="59"/>
      <c r="G16" s="59"/>
      <c r="H16" s="60"/>
      <c r="I16" s="60"/>
    </row>
    <row r="17" spans="2:9" ht="17">
      <c r="B17" s="21" t="s">
        <v>48</v>
      </c>
      <c r="C17" s="21" t="s">
        <v>49</v>
      </c>
      <c r="D17" s="21" t="s">
        <v>29</v>
      </c>
      <c r="E17" s="21"/>
      <c r="F17" s="21"/>
      <c r="G17" s="21"/>
      <c r="H17" s="21"/>
      <c r="I17" s="21"/>
    </row>
    <row r="18" spans="2:9">
      <c r="B18" s="21" t="s">
        <v>50</v>
      </c>
      <c r="C18" s="28" t="e">
        <f>flangebis!O5-'data 2'!C17</f>
        <v>#DIV/0!</v>
      </c>
      <c r="D18" s="28" t="e">
        <f>C18*$D$3</f>
        <v>#DIV/0!</v>
      </c>
      <c r="E18" s="28"/>
      <c r="F18" s="28"/>
      <c r="G18" s="52"/>
      <c r="H18" s="52"/>
      <c r="I18" s="26"/>
    </row>
    <row r="19" spans="2:9">
      <c r="B19" s="21">
        <v>2</v>
      </c>
      <c r="C19" s="28">
        <f>C7</f>
        <v>0</v>
      </c>
      <c r="D19" s="28">
        <f t="shared" ref="D19:D26" si="3">C19*$D$3</f>
        <v>0</v>
      </c>
      <c r="E19" s="28"/>
      <c r="F19" s="28"/>
      <c r="G19" s="52"/>
      <c r="H19" s="52"/>
      <c r="I19" s="53"/>
    </row>
    <row r="20" spans="2:9">
      <c r="B20" s="21">
        <v>3</v>
      </c>
      <c r="C20" s="28">
        <f t="shared" ref="C20:C25" si="4">C8</f>
        <v>0</v>
      </c>
      <c r="D20" s="28">
        <f t="shared" si="3"/>
        <v>0</v>
      </c>
      <c r="E20" s="54"/>
      <c r="F20" s="28"/>
      <c r="G20" s="52"/>
      <c r="H20" s="52"/>
      <c r="I20" s="2"/>
    </row>
    <row r="21" spans="2:9">
      <c r="B21" s="21">
        <v>4</v>
      </c>
      <c r="C21" s="28">
        <f t="shared" si="4"/>
        <v>0</v>
      </c>
      <c r="D21" s="28">
        <f t="shared" si="3"/>
        <v>0</v>
      </c>
      <c r="E21" s="55"/>
      <c r="F21" s="28"/>
      <c r="G21" s="52"/>
      <c r="H21" s="52"/>
      <c r="I21" s="53"/>
    </row>
    <row r="22" spans="2:9">
      <c r="B22" s="21">
        <v>5</v>
      </c>
      <c r="C22" s="28">
        <f t="shared" si="4"/>
        <v>0</v>
      </c>
      <c r="D22" s="28">
        <f t="shared" si="3"/>
        <v>0</v>
      </c>
      <c r="E22" s="54"/>
      <c r="F22" s="28"/>
      <c r="G22" s="52"/>
      <c r="H22" s="52"/>
      <c r="I22" s="2"/>
    </row>
    <row r="23" spans="2:9">
      <c r="B23" s="21">
        <v>6</v>
      </c>
      <c r="C23" s="28">
        <f t="shared" si="4"/>
        <v>0</v>
      </c>
      <c r="D23" s="28">
        <f t="shared" si="3"/>
        <v>0</v>
      </c>
      <c r="E23" s="55"/>
      <c r="F23" s="28"/>
      <c r="G23" s="52"/>
      <c r="H23" s="52"/>
      <c r="I23" s="53"/>
    </row>
    <row r="24" spans="2:9">
      <c r="B24" s="21">
        <v>7</v>
      </c>
      <c r="C24" s="28">
        <f t="shared" si="4"/>
        <v>0</v>
      </c>
      <c r="D24" s="28">
        <f>C24*$D$3</f>
        <v>0</v>
      </c>
      <c r="E24" s="55"/>
      <c r="F24" s="28"/>
      <c r="G24" s="52"/>
      <c r="H24" s="52"/>
      <c r="I24" s="53"/>
    </row>
    <row r="25" spans="2:9">
      <c r="B25" s="21">
        <v>8</v>
      </c>
      <c r="C25" s="28">
        <f t="shared" si="4"/>
        <v>0</v>
      </c>
      <c r="D25" s="28">
        <f t="shared" si="3"/>
        <v>0</v>
      </c>
      <c r="E25" s="55"/>
      <c r="F25" s="28"/>
      <c r="G25" s="52"/>
      <c r="H25" s="52"/>
      <c r="I25" s="53"/>
    </row>
    <row r="26" spans="2:9">
      <c r="B26" s="21" t="s">
        <v>51</v>
      </c>
      <c r="C26" s="28" t="e">
        <f>C18</f>
        <v>#DIV/0!</v>
      </c>
      <c r="D26" s="28" t="e">
        <f t="shared" si="3"/>
        <v>#DIV/0!</v>
      </c>
      <c r="E26" s="28"/>
      <c r="F26" s="28"/>
      <c r="G26" s="52"/>
      <c r="H26" s="52"/>
      <c r="I26" s="61"/>
    </row>
    <row r="27" spans="2:9">
      <c r="B27" s="56" t="s">
        <v>52</v>
      </c>
      <c r="C27" s="55"/>
      <c r="D27" s="57" t="e">
        <f>SUM(D18:D26)</f>
        <v>#DIV/0!</v>
      </c>
      <c r="E27" s="58"/>
      <c r="F27" s="28"/>
      <c r="G27" s="58"/>
      <c r="H27" s="58"/>
      <c r="I27" s="2"/>
    </row>
    <row r="28" spans="2:9">
      <c r="B28" s="59"/>
      <c r="C28" s="59"/>
      <c r="D28" s="59"/>
      <c r="E28" s="59"/>
      <c r="F28" s="59"/>
      <c r="G28" s="59"/>
      <c r="H28" s="60"/>
      <c r="I28" s="60"/>
    </row>
    <row r="29" spans="2:9">
      <c r="B29" s="59"/>
      <c r="C29" s="59"/>
      <c r="D29" s="59"/>
      <c r="E29" s="59"/>
      <c r="F29" s="59"/>
      <c r="G29" s="59"/>
      <c r="H29" s="60"/>
      <c r="I29" s="60"/>
    </row>
    <row r="30" spans="2:9" ht="17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>
      <c r="B31" s="2">
        <f>2*C3+B3</f>
        <v>0</v>
      </c>
      <c r="C31" s="2"/>
      <c r="D31" s="2">
        <f>'data 2'!K3</f>
        <v>0</v>
      </c>
      <c r="E31" s="2" t="e">
        <f>'data 2'!N3</f>
        <v>#DIV/0!</v>
      </c>
      <c r="F31" s="2" t="e">
        <f>3.07*(I15*C3^2*(2*C3+3*B3)/D3^3)^0.25</f>
        <v>#DIV/0!</v>
      </c>
      <c r="G31" s="2" t="e">
        <f>F31/E31</f>
        <v>#DIV/0!</v>
      </c>
      <c r="H31" s="2" t="e">
        <f>((E31+2*B31)/(E31+0.5*B31))^0.5</f>
        <v>#DIV/0!</v>
      </c>
      <c r="I31" s="62" t="e">
        <f>IF(G31&gt;2,H31,(H31-(H31-1)*(2*F31/E31-(F31/E31)^2)))</f>
        <v>#DIV/0!</v>
      </c>
    </row>
    <row r="32" spans="2:9">
      <c r="B32" s="5"/>
      <c r="C32" s="5"/>
      <c r="D32" s="5"/>
      <c r="E32" s="5"/>
      <c r="F32" s="5"/>
      <c r="G32" s="5"/>
      <c r="H32" s="5"/>
      <c r="I32" s="5"/>
    </row>
    <row r="33" spans="2:9" ht="17">
      <c r="B33" s="1" t="s">
        <v>60</v>
      </c>
      <c r="C33" s="5"/>
      <c r="D33" s="5"/>
      <c r="E33" s="5"/>
      <c r="F33" s="5"/>
      <c r="G33" s="5"/>
      <c r="H33" s="5"/>
      <c r="I33" s="5"/>
    </row>
    <row r="34" spans="2:9">
      <c r="B34" s="2" t="e">
        <f>4.2*I31*E3/D27*(I15*D3^3/4/C3^2/(2*C3+3*B3))^0.5</f>
        <v>#DIV/0!</v>
      </c>
      <c r="C34" s="5"/>
      <c r="D34" s="5"/>
      <c r="E34" s="5"/>
      <c r="F34" s="5"/>
      <c r="G34" s="5"/>
      <c r="H34" s="5"/>
      <c r="I34" s="5"/>
    </row>
    <row r="36" spans="2:9" ht="17">
      <c r="B36" s="1" t="s">
        <v>2</v>
      </c>
      <c r="C36" s="1" t="s">
        <v>61</v>
      </c>
      <c r="D36" s="1" t="s">
        <v>62</v>
      </c>
      <c r="E36" s="1" t="s">
        <v>63</v>
      </c>
    </row>
    <row r="37" spans="2:9">
      <c r="B37" s="53">
        <f>'data 2'!L3</f>
        <v>0</v>
      </c>
      <c r="C37" s="50" t="e">
        <f>(B37/B34)^0.5</f>
        <v>#DIV/0!</v>
      </c>
      <c r="D37" s="75" t="e">
        <f>IF(C37&lt;0.65,1,(1.47-0.723*C37))</f>
        <v>#DIV/0!</v>
      </c>
      <c r="E37" s="75" t="e">
        <f>IF(C37&gt;1.38,0.66/C37,D37)</f>
        <v>#DIV/0!</v>
      </c>
    </row>
    <row r="39" spans="2:9" ht="17">
      <c r="B39" s="2" t="s">
        <v>64</v>
      </c>
      <c r="C39" s="21" t="s">
        <v>65</v>
      </c>
      <c r="E39" s="105" t="s">
        <v>66</v>
      </c>
    </row>
    <row r="40" spans="2:9">
      <c r="B40" s="63" t="e">
        <f>E37</f>
        <v>#DIV/0!</v>
      </c>
      <c r="C40" s="28" t="e">
        <f>B40*D3*B37/flange!J5/flange!K5</f>
        <v>#DIV/0!</v>
      </c>
      <c r="E40" s="106" t="e">
        <f>B37/flange!K5/flange!J5</f>
        <v>#DIV/0!</v>
      </c>
      <c r="G40" s="64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workbookViewId="0">
      <selection activeCell="I3" sqref="I3"/>
    </sheetView>
  </sheetViews>
  <sheetFormatPr baseColWidth="10" defaultRowHeight="15" x14ac:dyDescent="0"/>
  <sheetData>
    <row r="2" spans="2:8" ht="17">
      <c r="B2" s="1" t="s">
        <v>1</v>
      </c>
      <c r="C2" s="1" t="s">
        <v>3</v>
      </c>
      <c r="D2" s="1" t="s">
        <v>2</v>
      </c>
      <c r="E2" s="48" t="s">
        <v>42</v>
      </c>
      <c r="F2" s="47" t="s">
        <v>41</v>
      </c>
      <c r="G2" s="1" t="s">
        <v>68</v>
      </c>
      <c r="H2" s="1" t="s">
        <v>69</v>
      </c>
    </row>
    <row r="3" spans="2:8">
      <c r="B3" s="50" t="e">
        <f>data!$J$6*0.98*(1-0.93*data!T$6/data!S$6)^(1/3)</f>
        <v>#DIV/0!</v>
      </c>
      <c r="C3" s="6">
        <f>data!Q6</f>
        <v>0</v>
      </c>
      <c r="D3" s="6">
        <f>data!P6</f>
        <v>0</v>
      </c>
      <c r="E3" s="5">
        <f>flange!K5</f>
        <v>1</v>
      </c>
      <c r="F3" s="5" t="e">
        <f>MIN(D3,D3*('data 2'!K3-'data 2'!L43)/'data 2'!L43)</f>
        <v>#DIV/0!</v>
      </c>
      <c r="G3" s="6" t="e">
        <f>'data 2'!K3-'data 2'!L43</f>
        <v>#DIV/0!</v>
      </c>
      <c r="H3" s="5" t="e">
        <f>G3/SIN('data 2'!C3)-'data 2'!F16</f>
        <v>#DIV/0!</v>
      </c>
    </row>
    <row r="4" spans="2:8">
      <c r="B4" s="50"/>
      <c r="G4" t="s">
        <v>108</v>
      </c>
    </row>
    <row r="5" spans="2:8" ht="17">
      <c r="B5" s="1" t="s">
        <v>70</v>
      </c>
      <c r="C5" s="1" t="s">
        <v>71</v>
      </c>
      <c r="D5" s="1" t="s">
        <v>72</v>
      </c>
      <c r="E5" s="1" t="s">
        <v>73</v>
      </c>
      <c r="F5" s="5" t="s">
        <v>74</v>
      </c>
      <c r="G5" s="23">
        <f>data!N6+'data 2'!D11</f>
        <v>0</v>
      </c>
      <c r="H5" s="104" t="s">
        <v>109</v>
      </c>
    </row>
    <row r="6" spans="2:8">
      <c r="B6" s="61" t="e">
        <f>0.95*B3*(C3/F3/E3)^0.5</f>
        <v>#DIV/0!</v>
      </c>
      <c r="C6" s="61" t="e">
        <f>B6</f>
        <v>#DIV/0!</v>
      </c>
      <c r="D6" s="2" t="e">
        <f>1.5*C6</f>
        <v>#DIV/0!</v>
      </c>
      <c r="E6" s="6" t="e">
        <f>C6+D6</f>
        <v>#DIV/0!</v>
      </c>
      <c r="F6" s="5"/>
    </row>
    <row r="10" spans="2:8" ht="17">
      <c r="B10" s="1" t="s">
        <v>4</v>
      </c>
      <c r="C10" s="21" t="s">
        <v>49</v>
      </c>
      <c r="D10" s="21" t="s">
        <v>29</v>
      </c>
      <c r="E10" s="21" t="s">
        <v>30</v>
      </c>
      <c r="F10" s="21" t="s">
        <v>31</v>
      </c>
    </row>
    <row r="11" spans="2:8">
      <c r="B11" s="1">
        <v>1</v>
      </c>
      <c r="C11" s="78">
        <f>'data 2'!C28</f>
        <v>0</v>
      </c>
    </row>
    <row r="12" spans="2:8">
      <c r="B12" s="1">
        <v>2</v>
      </c>
      <c r="C12" s="78">
        <f>'data 2'!C29</f>
        <v>0</v>
      </c>
    </row>
    <row r="13" spans="2:8">
      <c r="B13" s="1">
        <v>3</v>
      </c>
      <c r="C13" s="78">
        <f>'data 2'!C30</f>
        <v>0</v>
      </c>
    </row>
    <row r="14" spans="2:8">
      <c r="B14" s="1">
        <v>4</v>
      </c>
      <c r="C14" s="78">
        <f>'data 2'!C31</f>
        <v>0</v>
      </c>
    </row>
    <row r="15" spans="2:8">
      <c r="B15" s="1">
        <v>51</v>
      </c>
      <c r="C15" s="78" t="e">
        <f>flangebis!O5-'data 2'!C17</f>
        <v>#DIV/0!</v>
      </c>
    </row>
    <row r="16" spans="2:8">
      <c r="B16" s="1">
        <v>52</v>
      </c>
      <c r="C16" s="78" t="e">
        <f>flange!O5-'data 2'!F17</f>
        <v>#DIV/0!</v>
      </c>
    </row>
    <row r="17" spans="1:12">
      <c r="B17" s="1">
        <v>6</v>
      </c>
      <c r="C17" s="78">
        <f>'data 2'!C33</f>
        <v>0</v>
      </c>
    </row>
    <row r="18" spans="1:12">
      <c r="B18" s="1">
        <v>7</v>
      </c>
      <c r="C18" s="78">
        <f>'data 2'!C34</f>
        <v>0</v>
      </c>
    </row>
    <row r="19" spans="1:12">
      <c r="B19" s="77" t="s">
        <v>75</v>
      </c>
      <c r="C19" s="78" t="e">
        <f>IF(-(H3-C6-D6)&gt;0,0,(-(H3-C6-D6)))</f>
        <v>#DIV/0!</v>
      </c>
    </row>
    <row r="20" spans="1:12">
      <c r="B20" s="1">
        <v>8</v>
      </c>
      <c r="C20" s="78">
        <f>'data 2'!C35</f>
        <v>0</v>
      </c>
    </row>
    <row r="21" spans="1:12">
      <c r="B21" s="1">
        <v>9</v>
      </c>
      <c r="C21" s="78">
        <f>'data 2'!C36</f>
        <v>0</v>
      </c>
    </row>
    <row r="22" spans="1:12">
      <c r="B22" s="1">
        <v>10</v>
      </c>
      <c r="C22" s="78">
        <f>'data 2'!C37</f>
        <v>0</v>
      </c>
    </row>
    <row r="23" spans="1:12">
      <c r="B23" s="1">
        <v>11</v>
      </c>
      <c r="C23" s="78">
        <f>'data 2'!C38</f>
        <v>0</v>
      </c>
    </row>
    <row r="24" spans="1:12">
      <c r="B24" s="1">
        <v>12</v>
      </c>
      <c r="C24" s="78">
        <f>'data 2'!C39</f>
        <v>0</v>
      </c>
    </row>
    <row r="25" spans="1:12">
      <c r="B25" s="1">
        <v>13</v>
      </c>
      <c r="C25" s="79">
        <f>'data 2'!C40</f>
        <v>0</v>
      </c>
    </row>
    <row r="28" spans="1:12" ht="17">
      <c r="A28" s="103"/>
      <c r="B28" s="127" t="s">
        <v>151</v>
      </c>
      <c r="C28" s="127" t="s">
        <v>152</v>
      </c>
      <c r="D28" s="128"/>
      <c r="E28" s="128"/>
      <c r="F28" s="128"/>
      <c r="G28" s="128"/>
      <c r="H28" s="3" t="s">
        <v>72</v>
      </c>
      <c r="I28" s="103"/>
      <c r="J28" s="103"/>
      <c r="K28" s="103"/>
      <c r="L28" s="103"/>
    </row>
    <row r="29" spans="1:12">
      <c r="A29" s="103"/>
      <c r="B29" s="129">
        <f>data!M6</f>
        <v>0</v>
      </c>
      <c r="C29" s="129" t="e">
        <f>(1+0.5*B29/G3)*B6</f>
        <v>#DIV/0!</v>
      </c>
      <c r="D29" s="128"/>
      <c r="E29" s="128"/>
      <c r="F29" s="128"/>
      <c r="G29" s="128"/>
      <c r="H29" s="2" t="e">
        <f>D32/(C32+D32)*E32</f>
        <v>#DIV/0!</v>
      </c>
      <c r="I29" s="103"/>
      <c r="J29" s="103"/>
      <c r="K29" s="103"/>
      <c r="L29" s="103"/>
    </row>
    <row r="30" spans="1:12">
      <c r="A30" s="103"/>
      <c r="B30" s="128"/>
      <c r="C30" s="128"/>
      <c r="D30" s="128"/>
      <c r="E30" s="128"/>
      <c r="F30" s="128"/>
      <c r="G30" s="128"/>
      <c r="I30" s="103"/>
      <c r="J30" s="103"/>
      <c r="K30" s="103"/>
      <c r="L30" s="103"/>
    </row>
    <row r="31" spans="1:12" ht="17">
      <c r="A31" s="103"/>
      <c r="B31" s="127" t="s">
        <v>153</v>
      </c>
      <c r="C31" s="127" t="s">
        <v>154</v>
      </c>
      <c r="D31" s="127" t="s">
        <v>155</v>
      </c>
      <c r="E31" s="127" t="s">
        <v>156</v>
      </c>
      <c r="F31" s="127" t="s">
        <v>157</v>
      </c>
      <c r="G31" s="130" t="s">
        <v>154</v>
      </c>
      <c r="I31" s="103"/>
      <c r="J31" s="103"/>
      <c r="K31" s="103"/>
      <c r="L31" s="103"/>
    </row>
    <row r="32" spans="1:12">
      <c r="A32" s="103"/>
      <c r="B32" s="129">
        <f>data!N6</f>
        <v>0</v>
      </c>
      <c r="C32" s="129" t="e">
        <f>(1+0.5*(B29+B32)/G3)*B6</f>
        <v>#DIV/0!</v>
      </c>
      <c r="D32" s="129" t="e">
        <f>1.5*B6</f>
        <v>#DIV/0!</v>
      </c>
      <c r="E32" s="129" t="e">
        <f>(G26-G3/SIN(data!E6))</f>
        <v>#DIV/0!</v>
      </c>
      <c r="F32" s="129" t="e">
        <f>C32+D32</f>
        <v>#DIV/0!</v>
      </c>
      <c r="G32" s="129" t="e">
        <f>C32/(C32+D32)*E32</f>
        <v>#DIV/0!</v>
      </c>
      <c r="I32" s="103"/>
      <c r="J32" s="103"/>
      <c r="K32" s="103"/>
      <c r="L32" s="103"/>
    </row>
    <row r="33" spans="1:12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</row>
    <row r="34" spans="1:12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</row>
    <row r="35" spans="1:12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</row>
    <row r="36" spans="1:12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</row>
    <row r="37" spans="1:12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</row>
    <row r="38" spans="1:12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</row>
    <row r="39" spans="1:12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1:12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</row>
    <row r="41" spans="1:12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</row>
    <row r="42" spans="1:12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</row>
    <row r="43" spans="1:12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opLeftCell="A26" workbookViewId="0">
      <selection activeCell="I3" sqref="I3"/>
    </sheetView>
  </sheetViews>
  <sheetFormatPr baseColWidth="10" defaultRowHeight="15" x14ac:dyDescent="0"/>
  <sheetData>
    <row r="2" spans="1:11" ht="17">
      <c r="A2" t="s">
        <v>1</v>
      </c>
      <c r="B2" s="1" t="s">
        <v>1</v>
      </c>
      <c r="C2" s="1" t="s">
        <v>3</v>
      </c>
      <c r="D2" s="1" t="s">
        <v>2</v>
      </c>
    </row>
    <row r="3" spans="1:11">
      <c r="A3">
        <f>data!J6</f>
        <v>0</v>
      </c>
      <c r="B3" s="109" t="e">
        <f>web!B3</f>
        <v>#DIV/0!</v>
      </c>
      <c r="C3" s="2">
        <f>data!Q6</f>
        <v>0</v>
      </c>
      <c r="D3" s="2">
        <f>data!P6</f>
        <v>0</v>
      </c>
    </row>
    <row r="8" spans="1:11" ht="17">
      <c r="B8" s="1" t="s">
        <v>4</v>
      </c>
      <c r="C8" s="21" t="s">
        <v>49</v>
      </c>
      <c r="D8" s="21" t="s">
        <v>76</v>
      </c>
      <c r="E8" s="21" t="s">
        <v>29</v>
      </c>
      <c r="F8" s="21" t="s">
        <v>30</v>
      </c>
      <c r="G8" s="21" t="s">
        <v>31</v>
      </c>
      <c r="H8" s="21" t="s">
        <v>32</v>
      </c>
      <c r="I8" s="22" t="s">
        <v>33</v>
      </c>
      <c r="J8" s="21" t="s">
        <v>34</v>
      </c>
    </row>
    <row r="9" spans="1:11">
      <c r="A9" s="80">
        <v>0</v>
      </c>
      <c r="B9" s="21">
        <v>1</v>
      </c>
      <c r="C9" s="122">
        <f>web!C11</f>
        <v>0</v>
      </c>
      <c r="D9" s="81" t="e">
        <f>stiffner!C$40</f>
        <v>#DIV/0!</v>
      </c>
      <c r="E9" s="81" t="e">
        <f>C9*D9</f>
        <v>#DIV/0!</v>
      </c>
      <c r="F9" s="2">
        <f>'data 2'!J28</f>
        <v>0</v>
      </c>
      <c r="G9" s="1" t="e">
        <f>E9*F9</f>
        <v>#DIV/0!</v>
      </c>
      <c r="H9" s="2" t="e">
        <f t="shared" ref="H9:H23" si="0">$H$27-F9</f>
        <v>#DIV/0!</v>
      </c>
      <c r="I9" s="50">
        <f>'data 2'!M28</f>
        <v>0</v>
      </c>
      <c r="J9" s="31" t="e">
        <f>E9*I9^2/12+E9*H9^2</f>
        <v>#DIV/0!</v>
      </c>
    </row>
    <row r="10" spans="1:11">
      <c r="A10" s="80">
        <v>0.80870598857129861</v>
      </c>
      <c r="B10" s="21">
        <v>2</v>
      </c>
      <c r="C10" s="122">
        <f>web!C12</f>
        <v>0</v>
      </c>
      <c r="D10" s="81" t="e">
        <f>stiffner!C$40</f>
        <v>#DIV/0!</v>
      </c>
      <c r="E10" s="81" t="e">
        <f>C10*D10</f>
        <v>#DIV/0!</v>
      </c>
      <c r="F10" s="2" t="e">
        <f>'data 2'!J29</f>
        <v>#DIV/0!</v>
      </c>
      <c r="G10" s="1" t="e">
        <f t="shared" ref="G10:G23" si="1">E10*F10</f>
        <v>#DIV/0!</v>
      </c>
      <c r="H10" s="2" t="e">
        <f t="shared" si="0"/>
        <v>#DIV/0!</v>
      </c>
      <c r="I10" s="50"/>
      <c r="J10" s="41" t="e">
        <f>D10*'data 2'!E$3^3*(('data 2'!B$3+SIN('data 2'!B$3)*COS('data 2'!B$3))/2-SIN('data 2'!B$3)^2/'data 2'!B$3)+E10*H10^2</f>
        <v>#DIV/0!</v>
      </c>
    </row>
    <row r="11" spans="1:11">
      <c r="A11" s="80">
        <v>10.497526735775734</v>
      </c>
      <c r="B11" s="21">
        <v>3</v>
      </c>
      <c r="C11" s="122">
        <f>web!C13</f>
        <v>0</v>
      </c>
      <c r="D11" s="81" t="e">
        <f>stiffner!C$40</f>
        <v>#DIV/0!</v>
      </c>
      <c r="E11" s="81" t="e">
        <f>C11*D11</f>
        <v>#DIV/0!</v>
      </c>
      <c r="F11" s="2">
        <f>'data 2'!J30</f>
        <v>0</v>
      </c>
      <c r="G11" s="1" t="e">
        <f t="shared" si="1"/>
        <v>#DIV/0!</v>
      </c>
      <c r="H11" s="2" t="e">
        <f t="shared" si="0"/>
        <v>#DIV/0!</v>
      </c>
      <c r="I11" s="50">
        <f>'data 2'!M30</f>
        <v>0</v>
      </c>
      <c r="J11" s="31" t="e">
        <f>E11*I11^2/12+E11*H11^2</f>
        <v>#DIV/0!</v>
      </c>
      <c r="K11" t="e">
        <f>C11*stiffnerbis!G40*B3</f>
        <v>#DIV/0!</v>
      </c>
    </row>
    <row r="12" spans="1:11">
      <c r="A12" s="80">
        <v>0.80870598857129861</v>
      </c>
      <c r="B12" s="21">
        <v>4</v>
      </c>
      <c r="C12" s="122">
        <f>web!C14</f>
        <v>0</v>
      </c>
      <c r="D12" s="81" t="e">
        <f>stiffner!C$40</f>
        <v>#DIV/0!</v>
      </c>
      <c r="E12" s="81" t="e">
        <f>C12*D12</f>
        <v>#DIV/0!</v>
      </c>
      <c r="F12" s="2" t="e">
        <f>'data 2'!J31</f>
        <v>#DIV/0!</v>
      </c>
      <c r="G12" s="1" t="e">
        <f t="shared" si="1"/>
        <v>#DIV/0!</v>
      </c>
      <c r="H12" s="2" t="e">
        <f t="shared" si="0"/>
        <v>#DIV/0!</v>
      </c>
      <c r="I12" s="50"/>
      <c r="J12" s="41" t="e">
        <f>D12*'data 2'!E$3^3*(('data 2'!B$3+SIN('data 2'!B$3)*COS('data 2'!B$3))/2-SIN('data 2'!B$3)^2/'data 2'!B$3)+E12*H12^2</f>
        <v>#DIV/0!</v>
      </c>
    </row>
    <row r="13" spans="1:11">
      <c r="B13" s="21">
        <v>51</v>
      </c>
      <c r="C13" s="122" t="e">
        <f>web!C15</f>
        <v>#DIV/0!</v>
      </c>
      <c r="D13" s="81" t="e">
        <f>stiffner!C$40</f>
        <v>#DIV/0!</v>
      </c>
      <c r="E13" s="81" t="e">
        <f>C13*D13</f>
        <v>#DIV/0!</v>
      </c>
      <c r="F13" s="2">
        <f>'data 2'!J32</f>
        <v>0</v>
      </c>
      <c r="G13" s="1" t="e">
        <f t="shared" si="1"/>
        <v>#DIV/0!</v>
      </c>
      <c r="H13" s="2" t="e">
        <f t="shared" si="0"/>
        <v>#DIV/0!</v>
      </c>
      <c r="I13" s="50">
        <f>'data 2'!M32</f>
        <v>0</v>
      </c>
      <c r="J13" s="31" t="e">
        <f>E13*I13^2/12+E13*H13^2</f>
        <v>#DIV/0!</v>
      </c>
    </row>
    <row r="14" spans="1:11">
      <c r="B14" s="21">
        <v>52</v>
      </c>
      <c r="C14" s="122" t="e">
        <f>web!C16</f>
        <v>#DIV/0!</v>
      </c>
      <c r="D14" s="50">
        <f>A$3</f>
        <v>0</v>
      </c>
      <c r="E14" s="50" t="e">
        <f t="shared" ref="E14:E22" si="2">C14*D14</f>
        <v>#DIV/0!</v>
      </c>
      <c r="F14" s="2">
        <f>'data 2'!J32</f>
        <v>0</v>
      </c>
      <c r="G14" s="1" t="e">
        <f t="shared" si="1"/>
        <v>#DIV/0!</v>
      </c>
      <c r="H14" s="2" t="e">
        <f t="shared" si="0"/>
        <v>#DIV/0!</v>
      </c>
      <c r="I14" s="50">
        <f>'data 2'!M32</f>
        <v>0</v>
      </c>
      <c r="J14" s="31" t="e">
        <f>E14*I14^2/12+E14*H14^2</f>
        <v>#DIV/0!</v>
      </c>
    </row>
    <row r="15" spans="1:11">
      <c r="B15" s="21">
        <v>6</v>
      </c>
      <c r="C15" s="122">
        <f>web!C17</f>
        <v>0</v>
      </c>
      <c r="D15" s="50">
        <f>A$3</f>
        <v>0</v>
      </c>
      <c r="E15" s="50">
        <f t="shared" si="2"/>
        <v>0</v>
      </c>
      <c r="F15" s="2" t="e">
        <f>'data 2'!J33</f>
        <v>#DIV/0!</v>
      </c>
      <c r="G15" s="1" t="e">
        <f t="shared" si="1"/>
        <v>#DIV/0!</v>
      </c>
      <c r="H15" s="2" t="e">
        <f t="shared" si="0"/>
        <v>#DIV/0!</v>
      </c>
      <c r="I15" s="50"/>
      <c r="J15" s="41" t="e">
        <f>D15*'data 2'!E$3^3*(('data 2'!C$3+SIN('data 2'!C$3)*COS('data 2'!C$3))/2-SIN('data 2'!C$3)^2/'data 2'!C$3)+E15*H15^2</f>
        <v>#DIV/0!</v>
      </c>
    </row>
    <row r="16" spans="1:11">
      <c r="B16" s="21">
        <v>7</v>
      </c>
      <c r="C16" s="122">
        <f>web!C18</f>
        <v>0</v>
      </c>
      <c r="D16" s="109" t="e">
        <f>B$3</f>
        <v>#DIV/0!</v>
      </c>
      <c r="E16" s="50" t="e">
        <f t="shared" si="2"/>
        <v>#DIV/0!</v>
      </c>
      <c r="F16" s="2">
        <f>'data 2'!J34</f>
        <v>0</v>
      </c>
      <c r="G16" s="1" t="e">
        <f t="shared" si="1"/>
        <v>#DIV/0!</v>
      </c>
      <c r="H16" s="2" t="e">
        <f t="shared" si="0"/>
        <v>#DIV/0!</v>
      </c>
      <c r="I16" s="50">
        <f>'data 2'!M34</f>
        <v>0</v>
      </c>
      <c r="J16" s="31" t="e">
        <f>E16*I16^2/12+E16*H16^2</f>
        <v>#DIV/0!</v>
      </c>
    </row>
    <row r="17" spans="2:11">
      <c r="B17" s="29" t="s">
        <v>75</v>
      </c>
      <c r="C17" s="122" t="e">
        <f>web!C19</f>
        <v>#DIV/0!</v>
      </c>
      <c r="D17" s="109" t="e">
        <f t="shared" ref="D17:D21" si="3">B$3</f>
        <v>#DIV/0!</v>
      </c>
      <c r="E17" s="50" t="e">
        <f t="shared" si="2"/>
        <v>#DIV/0!</v>
      </c>
      <c r="F17" s="2" t="e">
        <f>'data 2'!L43+(web!D6-web!C19/2)*SIN(data!E6)</f>
        <v>#DIV/0!</v>
      </c>
      <c r="G17" s="1" t="e">
        <f t="shared" si="1"/>
        <v>#DIV/0!</v>
      </c>
      <c r="H17" s="2" t="e">
        <f t="shared" si="0"/>
        <v>#DIV/0!</v>
      </c>
      <c r="I17" s="86" t="e">
        <f>-C17*SIN(data!E6)</f>
        <v>#DIV/0!</v>
      </c>
      <c r="J17" s="31" t="e">
        <f>E17*I17^2/12+E17*H17^2</f>
        <v>#DIV/0!</v>
      </c>
    </row>
    <row r="18" spans="2:11">
      <c r="B18" s="21">
        <v>8</v>
      </c>
      <c r="C18" s="122">
        <f>web!C20</f>
        <v>0</v>
      </c>
      <c r="D18" s="109" t="e">
        <f t="shared" si="3"/>
        <v>#DIV/0!</v>
      </c>
      <c r="E18" s="50" t="e">
        <f t="shared" si="2"/>
        <v>#DIV/0!</v>
      </c>
      <c r="F18" s="2">
        <f>'data 2'!J35</f>
        <v>0</v>
      </c>
      <c r="G18" s="1" t="e">
        <f t="shared" si="1"/>
        <v>#DIV/0!</v>
      </c>
      <c r="H18" s="2" t="e">
        <f t="shared" si="0"/>
        <v>#DIV/0!</v>
      </c>
      <c r="I18" s="50"/>
      <c r="J18" s="41" t="e">
        <f>D18*'data 2'!E$3^3*(('data 2'!D$3+SIN('data 2'!D$3)*COS('data 2'!D$3))/2-SIN('data 2'!D$3)^2/'data 2'!D$3)+E18*H18^2</f>
        <v>#DIV/0!</v>
      </c>
    </row>
    <row r="19" spans="2:11">
      <c r="B19" s="21">
        <v>9</v>
      </c>
      <c r="C19" s="122">
        <f>web!C21</f>
        <v>0</v>
      </c>
      <c r="D19" s="109" t="e">
        <f t="shared" si="3"/>
        <v>#DIV/0!</v>
      </c>
      <c r="E19" s="50" t="e">
        <f t="shared" si="2"/>
        <v>#DIV/0!</v>
      </c>
      <c r="F19" s="2">
        <f>'data 2'!J36</f>
        <v>0</v>
      </c>
      <c r="G19" s="1" t="e">
        <f t="shared" si="1"/>
        <v>#DIV/0!</v>
      </c>
      <c r="H19" s="2" t="e">
        <f t="shared" si="0"/>
        <v>#DIV/0!</v>
      </c>
      <c r="I19" s="50">
        <f>'data 2'!M36</f>
        <v>0</v>
      </c>
      <c r="J19" s="31" t="e">
        <f>E19*I19^2/12+E19*H19^2</f>
        <v>#DIV/0!</v>
      </c>
    </row>
    <row r="20" spans="2:11">
      <c r="B20" s="21">
        <v>10</v>
      </c>
      <c r="C20" s="122">
        <f>web!C22</f>
        <v>0</v>
      </c>
      <c r="D20" s="109" t="e">
        <f t="shared" si="3"/>
        <v>#DIV/0!</v>
      </c>
      <c r="E20" s="50" t="e">
        <f t="shared" si="2"/>
        <v>#DIV/0!</v>
      </c>
      <c r="F20" s="2">
        <f>'data 2'!J37</f>
        <v>0</v>
      </c>
      <c r="G20" s="1" t="e">
        <f t="shared" si="1"/>
        <v>#DIV/0!</v>
      </c>
      <c r="H20" s="2" t="e">
        <f t="shared" si="0"/>
        <v>#DIV/0!</v>
      </c>
      <c r="I20" s="50"/>
      <c r="J20" s="41" t="e">
        <f>D20*'data 2'!E$3^3*(('data 2'!D$3+SIN('data 2'!D$3)*COS('data 2'!D$3))/2-SIN('data 2'!D$3)^2/'data 2'!D$3)+E20*H20^2</f>
        <v>#DIV/0!</v>
      </c>
    </row>
    <row r="21" spans="2:11">
      <c r="B21" s="21">
        <v>11</v>
      </c>
      <c r="C21" s="122">
        <f>web!C23</f>
        <v>0</v>
      </c>
      <c r="D21" s="109" t="e">
        <f t="shared" si="3"/>
        <v>#DIV/0!</v>
      </c>
      <c r="E21" s="50" t="e">
        <f t="shared" si="2"/>
        <v>#DIV/0!</v>
      </c>
      <c r="F21" s="2">
        <f>'data 2'!J38</f>
        <v>0</v>
      </c>
      <c r="G21" s="1" t="e">
        <f>E21*F21</f>
        <v>#DIV/0!</v>
      </c>
      <c r="H21" s="2" t="e">
        <f t="shared" si="0"/>
        <v>#DIV/0!</v>
      </c>
      <c r="I21" s="50">
        <f>'data 2'!M38</f>
        <v>0</v>
      </c>
      <c r="J21" s="31" t="e">
        <f>E21*I21^2/12+E21*H21^2</f>
        <v>#DIV/0!</v>
      </c>
    </row>
    <row r="22" spans="2:11">
      <c r="B22" s="21">
        <v>12</v>
      </c>
      <c r="C22" s="122">
        <f>web!C24</f>
        <v>0</v>
      </c>
      <c r="D22" s="50">
        <f>A$3</f>
        <v>0</v>
      </c>
      <c r="E22" s="50">
        <f t="shared" si="2"/>
        <v>0</v>
      </c>
      <c r="F22" s="2" t="e">
        <f>'data 2'!J39</f>
        <v>#DIV/0!</v>
      </c>
      <c r="G22" s="1" t="e">
        <f t="shared" si="1"/>
        <v>#DIV/0!</v>
      </c>
      <c r="H22" s="2" t="e">
        <f t="shared" si="0"/>
        <v>#DIV/0!</v>
      </c>
      <c r="I22" s="50"/>
      <c r="J22" s="41" t="e">
        <f>D22*'data 2'!E$3^3*(('data 2'!D$3+SIN('data 2'!C$3)*COS('data 2'!C$3))/2-SIN('data 2'!C$3)^2/'data 2'!C$3)+E22*H22^2</f>
        <v>#DIV/0!</v>
      </c>
    </row>
    <row r="23" spans="2:11">
      <c r="B23" s="21">
        <v>13</v>
      </c>
      <c r="C23" s="122">
        <f>web!C25</f>
        <v>0</v>
      </c>
      <c r="D23" s="50">
        <f>A$3</f>
        <v>0</v>
      </c>
      <c r="E23" s="50">
        <f>C23*D23</f>
        <v>0</v>
      </c>
      <c r="F23" s="2">
        <f>'data 2'!J40</f>
        <v>0</v>
      </c>
      <c r="G23" s="1">
        <f t="shared" si="1"/>
        <v>0</v>
      </c>
      <c r="H23" s="2" t="e">
        <f t="shared" si="0"/>
        <v>#DIV/0!</v>
      </c>
      <c r="I23" s="50">
        <f>'data 2'!M40</f>
        <v>0</v>
      </c>
      <c r="J23" s="31" t="e">
        <f>E23*I23^2/12+E23*H23^2</f>
        <v>#DIV/0!</v>
      </c>
    </row>
    <row r="24" spans="2:11">
      <c r="B24" s="21"/>
      <c r="C24" s="1"/>
      <c r="D24" s="1"/>
      <c r="E24" s="2"/>
      <c r="F24" s="1"/>
      <c r="G24" s="2"/>
      <c r="H24" s="2"/>
      <c r="I24" s="1"/>
      <c r="J24" s="26"/>
    </row>
    <row r="27" spans="2:11">
      <c r="B27" s="21" t="s">
        <v>52</v>
      </c>
      <c r="C27" s="5"/>
      <c r="D27" s="5"/>
      <c r="E27" s="2" t="e">
        <f>SUM(E9:E26)</f>
        <v>#DIV/0!</v>
      </c>
      <c r="G27" s="2" t="e">
        <f>SUM(G9:G26)</f>
        <v>#DIV/0!</v>
      </c>
      <c r="H27" s="2" t="e">
        <f>G27/E27</f>
        <v>#DIV/0!</v>
      </c>
      <c r="J27" s="26" t="e">
        <f>SUM(J9:J26)</f>
        <v>#DIV/0!</v>
      </c>
      <c r="K27" s="82" t="s">
        <v>77</v>
      </c>
    </row>
    <row r="28" spans="2:11">
      <c r="E28" s="5" t="e">
        <f>E27*2</f>
        <v>#DIV/0!</v>
      </c>
      <c r="G28" s="5"/>
      <c r="H28" s="6" t="e">
        <f>data!L6-moment!H27</f>
        <v>#DIV/0!</v>
      </c>
      <c r="J28" s="5" t="e">
        <f>J27*2</f>
        <v>#DIV/0!</v>
      </c>
      <c r="K28" s="82" t="s">
        <v>78</v>
      </c>
    </row>
    <row r="29" spans="2:11">
      <c r="B29" s="5" t="s">
        <v>80</v>
      </c>
      <c r="C29" s="5" t="e">
        <f>J27/MAX(H27,H28)</f>
        <v>#DIV/0!</v>
      </c>
      <c r="D29" s="5" t="s">
        <v>77</v>
      </c>
      <c r="J29" s="5" t="e">
        <f>J28/data!K6</f>
        <v>#DIV/0!</v>
      </c>
      <c r="K29" s="82" t="s">
        <v>79</v>
      </c>
    </row>
    <row r="30" spans="2:11">
      <c r="B30" s="5" t="s">
        <v>80</v>
      </c>
      <c r="C30" s="5" t="e">
        <f>2*C29</f>
        <v>#DIV/0!</v>
      </c>
      <c r="D30" s="5" t="s">
        <v>78</v>
      </c>
    </row>
    <row r="31" spans="2:11">
      <c r="B31" s="5" t="s">
        <v>80</v>
      </c>
      <c r="C31" s="5" t="e">
        <f>C30/data!K6</f>
        <v>#DIV/0!</v>
      </c>
      <c r="D31" s="5" t="s">
        <v>81</v>
      </c>
    </row>
    <row r="32" spans="2:11">
      <c r="B32" s="5"/>
      <c r="C32" s="5"/>
      <c r="D32" s="5"/>
    </row>
    <row r="33" spans="2:10">
      <c r="B33" s="5" t="s">
        <v>82</v>
      </c>
      <c r="C33" s="5" t="s">
        <v>82</v>
      </c>
      <c r="D33" s="5"/>
    </row>
    <row r="34" spans="2:10">
      <c r="B34" s="83" t="e">
        <f>D3*C31*1</f>
        <v>#DIV/0!</v>
      </c>
      <c r="C34" s="83" t="s">
        <v>83</v>
      </c>
      <c r="D34" s="84"/>
    </row>
    <row r="35" spans="2:10">
      <c r="B35" s="85" t="e">
        <f>B34/1000</f>
        <v>#DIV/0!</v>
      </c>
      <c r="C35" t="s">
        <v>84</v>
      </c>
    </row>
    <row r="37" spans="2:10" ht="17">
      <c r="B37" s="1" t="s">
        <v>4</v>
      </c>
      <c r="C37" s="21" t="s">
        <v>159</v>
      </c>
      <c r="D37" s="21" t="s">
        <v>169</v>
      </c>
      <c r="E37" s="21" t="s">
        <v>29</v>
      </c>
      <c r="F37" s="21" t="s">
        <v>30</v>
      </c>
      <c r="G37" s="21" t="s">
        <v>31</v>
      </c>
      <c r="H37" s="21" t="s">
        <v>32</v>
      </c>
      <c r="I37" s="22" t="s">
        <v>33</v>
      </c>
      <c r="J37" s="21" t="s">
        <v>34</v>
      </c>
    </row>
    <row r="38" spans="2:10">
      <c r="B38" s="133">
        <v>1</v>
      </c>
      <c r="C38" s="134">
        <f>C9</f>
        <v>0</v>
      </c>
      <c r="D38" s="139" t="e">
        <f>D9</f>
        <v>#DIV/0!</v>
      </c>
      <c r="E38" s="134" t="e">
        <f>C38*D38</f>
        <v>#DIV/0!</v>
      </c>
      <c r="F38" s="139">
        <f>F9</f>
        <v>0</v>
      </c>
      <c r="G38" s="139" t="e">
        <f t="shared" ref="G38:J38" si="4">G9</f>
        <v>#DIV/0!</v>
      </c>
      <c r="H38" s="139" t="e">
        <f t="shared" si="4"/>
        <v>#DIV/0!</v>
      </c>
      <c r="I38" s="139">
        <f t="shared" si="4"/>
        <v>0</v>
      </c>
      <c r="J38" s="139" t="e">
        <f t="shared" si="4"/>
        <v>#DIV/0!</v>
      </c>
    </row>
    <row r="39" spans="2:10" ht="17">
      <c r="B39" s="133" t="s">
        <v>161</v>
      </c>
      <c r="C39" s="134">
        <f t="shared" ref="C39:D45" si="5">C10</f>
        <v>0</v>
      </c>
      <c r="D39" s="139" t="e">
        <f t="shared" si="5"/>
        <v>#DIV/0!</v>
      </c>
      <c r="E39" s="134" t="e">
        <f t="shared" ref="E39:E51" si="6">C39*D39</f>
        <v>#DIV/0!</v>
      </c>
      <c r="F39" s="139" t="e">
        <f t="shared" ref="F39:J39" si="7">F10</f>
        <v>#DIV/0!</v>
      </c>
      <c r="G39" s="139" t="e">
        <f t="shared" si="7"/>
        <v>#DIV/0!</v>
      </c>
      <c r="H39" s="139" t="e">
        <f t="shared" si="7"/>
        <v>#DIV/0!</v>
      </c>
      <c r="I39" s="139">
        <f t="shared" si="7"/>
        <v>0</v>
      </c>
      <c r="J39" s="139" t="e">
        <f t="shared" si="7"/>
        <v>#DIV/0!</v>
      </c>
    </row>
    <row r="40" spans="2:10">
      <c r="B40" s="75">
        <v>2</v>
      </c>
      <c r="C40" s="134">
        <f t="shared" si="5"/>
        <v>0</v>
      </c>
      <c r="D40" s="139" t="e">
        <f t="shared" si="5"/>
        <v>#DIV/0!</v>
      </c>
      <c r="E40" s="134" t="e">
        <f t="shared" si="6"/>
        <v>#DIV/0!</v>
      </c>
      <c r="F40" s="139">
        <f t="shared" ref="F40:J40" si="8">F11</f>
        <v>0</v>
      </c>
      <c r="G40" s="139" t="e">
        <f t="shared" si="8"/>
        <v>#DIV/0!</v>
      </c>
      <c r="H40" s="139" t="e">
        <f t="shared" si="8"/>
        <v>#DIV/0!</v>
      </c>
      <c r="I40" s="139">
        <f t="shared" si="8"/>
        <v>0</v>
      </c>
      <c r="J40" s="139" t="e">
        <f t="shared" si="8"/>
        <v>#DIV/0!</v>
      </c>
    </row>
    <row r="41" spans="2:10" ht="17">
      <c r="B41" s="133" t="s">
        <v>160</v>
      </c>
      <c r="C41" s="134">
        <f t="shared" si="5"/>
        <v>0</v>
      </c>
      <c r="D41" s="139" t="e">
        <f t="shared" si="5"/>
        <v>#DIV/0!</v>
      </c>
      <c r="E41" s="134" t="e">
        <f t="shared" si="6"/>
        <v>#DIV/0!</v>
      </c>
      <c r="F41" s="139" t="e">
        <f t="shared" ref="F41:J41" si="9">F12</f>
        <v>#DIV/0!</v>
      </c>
      <c r="G41" s="139" t="e">
        <f t="shared" si="9"/>
        <v>#DIV/0!</v>
      </c>
      <c r="H41" s="139" t="e">
        <f t="shared" si="9"/>
        <v>#DIV/0!</v>
      </c>
      <c r="I41" s="139">
        <f t="shared" si="9"/>
        <v>0</v>
      </c>
      <c r="J41" s="139" t="e">
        <f t="shared" si="9"/>
        <v>#DIV/0!</v>
      </c>
    </row>
    <row r="42" spans="2:10">
      <c r="B42" s="133">
        <v>31</v>
      </c>
      <c r="C42" s="134" t="e">
        <f t="shared" si="5"/>
        <v>#DIV/0!</v>
      </c>
      <c r="D42" s="139" t="e">
        <f t="shared" si="5"/>
        <v>#DIV/0!</v>
      </c>
      <c r="E42" s="134" t="e">
        <f t="shared" si="6"/>
        <v>#DIV/0!</v>
      </c>
      <c r="F42" s="139">
        <f t="shared" ref="F42:J42" si="10">F13</f>
        <v>0</v>
      </c>
      <c r="G42" s="139" t="e">
        <f t="shared" si="10"/>
        <v>#DIV/0!</v>
      </c>
      <c r="H42" s="139" t="e">
        <f t="shared" si="10"/>
        <v>#DIV/0!</v>
      </c>
      <c r="I42" s="139">
        <f t="shared" si="10"/>
        <v>0</v>
      </c>
      <c r="J42" s="139" t="e">
        <f t="shared" si="10"/>
        <v>#DIV/0!</v>
      </c>
    </row>
    <row r="43" spans="2:10">
      <c r="B43" s="133">
        <v>32</v>
      </c>
      <c r="C43" s="134" t="e">
        <f t="shared" si="5"/>
        <v>#DIV/0!</v>
      </c>
      <c r="D43" s="139">
        <f t="shared" si="5"/>
        <v>0</v>
      </c>
      <c r="E43" s="134" t="e">
        <f t="shared" si="6"/>
        <v>#DIV/0!</v>
      </c>
      <c r="F43" s="139">
        <f t="shared" ref="F43:J43" si="11">F14</f>
        <v>0</v>
      </c>
      <c r="G43" s="139" t="e">
        <f t="shared" si="11"/>
        <v>#DIV/0!</v>
      </c>
      <c r="H43" s="139" t="e">
        <f t="shared" si="11"/>
        <v>#DIV/0!</v>
      </c>
      <c r="I43" s="139">
        <f t="shared" si="11"/>
        <v>0</v>
      </c>
      <c r="J43" s="139" t="e">
        <f t="shared" si="11"/>
        <v>#DIV/0!</v>
      </c>
    </row>
    <row r="44" spans="2:10" ht="17">
      <c r="B44" s="133" t="s">
        <v>162</v>
      </c>
      <c r="C44" s="134">
        <f t="shared" si="5"/>
        <v>0</v>
      </c>
      <c r="D44" s="139">
        <f t="shared" si="5"/>
        <v>0</v>
      </c>
      <c r="E44" s="134">
        <f t="shared" si="6"/>
        <v>0</v>
      </c>
      <c r="F44" s="139" t="e">
        <f t="shared" ref="F44:J44" si="12">F15</f>
        <v>#DIV/0!</v>
      </c>
      <c r="G44" s="139" t="e">
        <f t="shared" si="12"/>
        <v>#DIV/0!</v>
      </c>
      <c r="H44" s="139" t="e">
        <f t="shared" si="12"/>
        <v>#DIV/0!</v>
      </c>
      <c r="I44" s="139">
        <f t="shared" si="12"/>
        <v>0</v>
      </c>
      <c r="J44" s="139" t="e">
        <f t="shared" si="12"/>
        <v>#DIV/0!</v>
      </c>
    </row>
    <row r="45" spans="2:10">
      <c r="B45" s="133">
        <v>4</v>
      </c>
      <c r="C45" s="134">
        <f t="shared" si="5"/>
        <v>0</v>
      </c>
      <c r="D45" s="139" t="e">
        <f t="shared" si="5"/>
        <v>#DIV/0!</v>
      </c>
      <c r="E45" s="134" t="e">
        <f t="shared" si="6"/>
        <v>#DIV/0!</v>
      </c>
      <c r="F45" s="139">
        <f t="shared" ref="F45:J45" si="13">F16</f>
        <v>0</v>
      </c>
      <c r="G45" s="139" t="e">
        <f t="shared" si="13"/>
        <v>#DIV/0!</v>
      </c>
      <c r="H45" s="139" t="e">
        <f t="shared" si="13"/>
        <v>#DIV/0!</v>
      </c>
      <c r="I45" s="139">
        <f t="shared" si="13"/>
        <v>0</v>
      </c>
      <c r="J45" s="139" t="e">
        <f t="shared" si="13"/>
        <v>#DIV/0!</v>
      </c>
    </row>
    <row r="46" spans="2:10" ht="17">
      <c r="B46" s="133" t="s">
        <v>165</v>
      </c>
      <c r="C46" s="134">
        <f>C18</f>
        <v>0</v>
      </c>
      <c r="D46" s="139" t="e">
        <f>D18</f>
        <v>#DIV/0!</v>
      </c>
      <c r="E46" s="134" t="e">
        <f t="shared" si="6"/>
        <v>#DIV/0!</v>
      </c>
      <c r="F46" s="139">
        <f>F18</f>
        <v>0</v>
      </c>
      <c r="G46" s="139" t="e">
        <f t="shared" ref="G46:J46" si="14">G18</f>
        <v>#DIV/0!</v>
      </c>
      <c r="H46" s="139" t="e">
        <f t="shared" si="14"/>
        <v>#DIV/0!</v>
      </c>
      <c r="I46" s="139">
        <f t="shared" si="14"/>
        <v>0</v>
      </c>
      <c r="J46" s="139" t="e">
        <f t="shared" si="14"/>
        <v>#DIV/0!</v>
      </c>
    </row>
    <row r="47" spans="2:10">
      <c r="B47" s="133">
        <v>5</v>
      </c>
      <c r="C47" s="134">
        <f t="shared" ref="C47:D51" si="15">C19</f>
        <v>0</v>
      </c>
      <c r="D47" s="139" t="e">
        <f t="shared" si="15"/>
        <v>#DIV/0!</v>
      </c>
      <c r="E47" s="134" t="e">
        <f t="shared" si="6"/>
        <v>#DIV/0!</v>
      </c>
      <c r="F47" s="139">
        <f t="shared" ref="F47:J47" si="16">F19</f>
        <v>0</v>
      </c>
      <c r="G47" s="139" t="e">
        <f t="shared" si="16"/>
        <v>#DIV/0!</v>
      </c>
      <c r="H47" s="139" t="e">
        <f t="shared" si="16"/>
        <v>#DIV/0!</v>
      </c>
      <c r="I47" s="139">
        <f t="shared" si="16"/>
        <v>0</v>
      </c>
      <c r="J47" s="139" t="e">
        <f t="shared" si="16"/>
        <v>#DIV/0!</v>
      </c>
    </row>
    <row r="48" spans="2:10" ht="17">
      <c r="B48" s="133" t="s">
        <v>166</v>
      </c>
      <c r="C48" s="134">
        <f t="shared" si="15"/>
        <v>0</v>
      </c>
      <c r="D48" s="139" t="e">
        <f t="shared" si="15"/>
        <v>#DIV/0!</v>
      </c>
      <c r="E48" s="134" t="e">
        <f t="shared" si="6"/>
        <v>#DIV/0!</v>
      </c>
      <c r="F48" s="139">
        <f t="shared" ref="F48:J48" si="17">F20</f>
        <v>0</v>
      </c>
      <c r="G48" s="139" t="e">
        <f t="shared" si="17"/>
        <v>#DIV/0!</v>
      </c>
      <c r="H48" s="139" t="e">
        <f t="shared" si="17"/>
        <v>#DIV/0!</v>
      </c>
      <c r="I48" s="139">
        <f t="shared" si="17"/>
        <v>0</v>
      </c>
      <c r="J48" s="139" t="e">
        <f t="shared" si="17"/>
        <v>#DIV/0!</v>
      </c>
    </row>
    <row r="49" spans="2:10">
      <c r="B49" s="133">
        <v>6</v>
      </c>
      <c r="C49" s="134">
        <f t="shared" si="15"/>
        <v>0</v>
      </c>
      <c r="D49" s="139" t="e">
        <f t="shared" si="15"/>
        <v>#DIV/0!</v>
      </c>
      <c r="E49" s="134" t="e">
        <f t="shared" si="6"/>
        <v>#DIV/0!</v>
      </c>
      <c r="F49" s="139">
        <f t="shared" ref="F49:J49" si="18">F21</f>
        <v>0</v>
      </c>
      <c r="G49" s="139" t="e">
        <f t="shared" si="18"/>
        <v>#DIV/0!</v>
      </c>
      <c r="H49" s="139" t="e">
        <f t="shared" si="18"/>
        <v>#DIV/0!</v>
      </c>
      <c r="I49" s="139">
        <f t="shared" si="18"/>
        <v>0</v>
      </c>
      <c r="J49" s="139" t="e">
        <f t="shared" si="18"/>
        <v>#DIV/0!</v>
      </c>
    </row>
    <row r="50" spans="2:10" ht="17">
      <c r="B50" s="133" t="s">
        <v>163</v>
      </c>
      <c r="C50" s="134">
        <f t="shared" si="15"/>
        <v>0</v>
      </c>
      <c r="D50" s="139">
        <f t="shared" si="15"/>
        <v>0</v>
      </c>
      <c r="E50" s="134">
        <f t="shared" si="6"/>
        <v>0</v>
      </c>
      <c r="F50" s="139" t="e">
        <f t="shared" ref="F50:J50" si="19">F22</f>
        <v>#DIV/0!</v>
      </c>
      <c r="G50" s="139" t="e">
        <f t="shared" si="19"/>
        <v>#DIV/0!</v>
      </c>
      <c r="H50" s="139" t="e">
        <f t="shared" si="19"/>
        <v>#DIV/0!</v>
      </c>
      <c r="I50" s="139">
        <f t="shared" si="19"/>
        <v>0</v>
      </c>
      <c r="J50" s="139" t="e">
        <f t="shared" si="19"/>
        <v>#DIV/0!</v>
      </c>
    </row>
    <row r="51" spans="2:10">
      <c r="B51" s="133">
        <v>7</v>
      </c>
      <c r="C51" s="134">
        <f t="shared" si="15"/>
        <v>0</v>
      </c>
      <c r="D51" s="139">
        <f t="shared" si="15"/>
        <v>0</v>
      </c>
      <c r="E51" s="134">
        <f t="shared" si="6"/>
        <v>0</v>
      </c>
      <c r="F51" s="139">
        <f t="shared" ref="F51:J51" si="20">F23</f>
        <v>0</v>
      </c>
      <c r="G51" s="139">
        <f t="shared" si="20"/>
        <v>0</v>
      </c>
      <c r="H51" s="139" t="e">
        <f t="shared" si="20"/>
        <v>#DIV/0!</v>
      </c>
      <c r="I51" s="139">
        <f t="shared" si="20"/>
        <v>0</v>
      </c>
      <c r="J51" s="139" t="e">
        <f t="shared" si="20"/>
        <v>#DIV/0!</v>
      </c>
    </row>
    <row r="52" spans="2:10">
      <c r="B52" s="89" t="s">
        <v>164</v>
      </c>
      <c r="E52" s="135" t="e">
        <f>SUM(E38:E51)</f>
        <v>#DIV/0!</v>
      </c>
      <c r="F52" s="136"/>
      <c r="G52" s="135" t="e">
        <f>SUM(G38:G51)</f>
        <v>#DIV/0!</v>
      </c>
      <c r="H52" s="137" t="e">
        <f>G52/E52</f>
        <v>#DIV/0!</v>
      </c>
      <c r="I52" s="142"/>
      <c r="J52" s="135" t="e">
        <f>SUM(J38:J51)</f>
        <v>#DIV/0!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I3" sqref="I3"/>
    </sheetView>
  </sheetViews>
  <sheetFormatPr baseColWidth="10" defaultRowHeight="15" x14ac:dyDescent="0"/>
  <cols>
    <col min="2" max="2" width="5" customWidth="1"/>
    <col min="3" max="3" width="5.83203125" customWidth="1"/>
    <col min="6" max="6" width="5.6640625" customWidth="1"/>
    <col min="7" max="7" width="9.1640625" customWidth="1"/>
    <col min="8" max="8" width="7" customWidth="1"/>
    <col min="9" max="9" width="5.33203125" customWidth="1"/>
    <col min="10" max="10" width="7.83203125" customWidth="1"/>
    <col min="11" max="11" width="7.1640625" customWidth="1"/>
    <col min="12" max="12" width="6.6640625" customWidth="1"/>
    <col min="13" max="13" width="6.5" customWidth="1"/>
    <col min="14" max="14" width="8.1640625" customWidth="1"/>
    <col min="15" max="15" width="7.1640625" customWidth="1"/>
  </cols>
  <sheetData>
    <row r="2" spans="2: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7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45" t="s">
        <v>38</v>
      </c>
      <c r="H4" s="46" t="s">
        <v>39</v>
      </c>
      <c r="I4" s="1" t="s">
        <v>40</v>
      </c>
      <c r="J4" s="47" t="s">
        <v>41</v>
      </c>
      <c r="K4" s="48" t="s">
        <v>42</v>
      </c>
      <c r="L4" s="1" t="s">
        <v>43</v>
      </c>
      <c r="M4" s="1" t="s">
        <v>44</v>
      </c>
      <c r="N4" s="3" t="s">
        <v>45</v>
      </c>
      <c r="O4" s="3" t="s">
        <v>46</v>
      </c>
    </row>
    <row r="5" spans="2:15">
      <c r="B5" s="2">
        <f>'data 2'!C8</f>
        <v>0</v>
      </c>
      <c r="C5" s="2">
        <f>flange!C5</f>
        <v>0</v>
      </c>
      <c r="D5" s="49">
        <f>'data 2'!L3</f>
        <v>0</v>
      </c>
      <c r="E5" s="2">
        <f>'data 2'!M3</f>
        <v>0</v>
      </c>
      <c r="F5" s="2">
        <v>4</v>
      </c>
      <c r="G5" s="2">
        <v>1</v>
      </c>
      <c r="H5" s="2" t="e">
        <f>(235/D5)^0.5</f>
        <v>#DIV/0!</v>
      </c>
      <c r="I5" s="50" t="e">
        <f>B5/C5/28.4/H5/(F5)^0.5</f>
        <v>#DIV/0!</v>
      </c>
      <c r="J5" s="50" t="e">
        <f>MIN(D5,D5*('data 2'!K3-moment!H27)/moment!H27)</f>
        <v>#DIV/0!</v>
      </c>
      <c r="K5" s="50">
        <v>1</v>
      </c>
      <c r="L5" s="50" t="e">
        <f>I5*SQRT(J5/D5/K5)</f>
        <v>#DIV/0!</v>
      </c>
      <c r="M5" s="50" t="e">
        <f>MIN(IF(L5&gt;0.673,(L5-0.055*(3+G5))/L5^2+0.18*(I5-L5)/(I5-0.6),1),1)</f>
        <v>#DIV/0!</v>
      </c>
      <c r="N5" s="2" t="e">
        <f>M5*B5</f>
        <v>#DIV/0!</v>
      </c>
      <c r="O5" s="51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28</vt:i4>
      </vt:variant>
    </vt:vector>
  </HeadingPairs>
  <TitlesOfParts>
    <vt:vector size="28" baseType="lpstr">
      <vt:lpstr>data</vt:lpstr>
      <vt:lpstr>data 2</vt:lpstr>
      <vt:lpstr>flange</vt:lpstr>
      <vt:lpstr>stiffner</vt:lpstr>
      <vt:lpstr>flangebis</vt:lpstr>
      <vt:lpstr>stiffnerbis</vt:lpstr>
      <vt:lpstr>web</vt:lpstr>
      <vt:lpstr>moment</vt:lpstr>
      <vt:lpstr>flange (2)</vt:lpstr>
      <vt:lpstr>stiffner (2)</vt:lpstr>
      <vt:lpstr>flangebis (2)</vt:lpstr>
      <vt:lpstr>stiffnerbis (2)</vt:lpstr>
      <vt:lpstr>web (2)</vt:lpstr>
      <vt:lpstr>moment (2)</vt:lpstr>
      <vt:lpstr>flange (3)</vt:lpstr>
      <vt:lpstr>stiffner (3)</vt:lpstr>
      <vt:lpstr>flangebis (3)</vt:lpstr>
      <vt:lpstr>stiffnerbis (3)</vt:lpstr>
      <vt:lpstr>web (3)</vt:lpstr>
      <vt:lpstr>moment (3)</vt:lpstr>
      <vt:lpstr>flange (4)</vt:lpstr>
      <vt:lpstr>stiffner (4)</vt:lpstr>
      <vt:lpstr>flangebis (4)</vt:lpstr>
      <vt:lpstr>stiffnerbis (4)</vt:lpstr>
      <vt:lpstr>web (4)</vt:lpstr>
      <vt:lpstr>moment (4)</vt:lpstr>
      <vt:lpstr>Feuil1</vt:lpstr>
      <vt:lpstr>Feuil2</vt:lpstr>
    </vt:vector>
  </TitlesOfParts>
  <Company>Sokol Palisson Consultants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Palisson</dc:creator>
  <cp:lastModifiedBy>ANNA Palisson</cp:lastModifiedBy>
  <cp:lastPrinted>2016-07-20T16:08:46Z</cp:lastPrinted>
  <dcterms:created xsi:type="dcterms:W3CDTF">2016-02-03T16:34:04Z</dcterms:created>
  <dcterms:modified xsi:type="dcterms:W3CDTF">2018-04-23T17:48:55Z</dcterms:modified>
</cp:coreProperties>
</file>