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705" yWindow="0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web" sheetId="7" state="hidden" r:id="rId4"/>
    <sheet name="moment" sheetId="8" state="hidden" r:id="rId5"/>
    <sheet name="flange (2)" sheetId="28" state="hidden" r:id="rId6"/>
    <sheet name="web (2)" sheetId="29" state="hidden" r:id="rId7"/>
    <sheet name="moment (2)" sheetId="30" state="hidden" r:id="rId8"/>
    <sheet name="flange (3)" sheetId="34" state="hidden" r:id="rId9"/>
    <sheet name="web (3)" sheetId="35" state="hidden" r:id="rId10"/>
    <sheet name="moment (3)" sheetId="36" state="hidden" r:id="rId11"/>
    <sheet name="Feuil1" sheetId="21" state="hidden" r:id="rId1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2" l="1"/>
  <c r="F3" i="2"/>
  <c r="G3" i="2"/>
  <c r="G2" i="2"/>
  <c r="F2" i="2"/>
  <c r="H3" i="2"/>
  <c r="E3" i="2"/>
  <c r="D36" i="1"/>
  <c r="D34" i="1"/>
  <c r="D32" i="1"/>
  <c r="Q6" i="1"/>
  <c r="C3" i="2"/>
  <c r="F17" i="2"/>
  <c r="I3" i="2"/>
  <c r="C9" i="1"/>
  <c r="C6" i="2"/>
  <c r="F16" i="2"/>
  <c r="C28" i="2"/>
  <c r="I28" i="2"/>
  <c r="K3" i="2"/>
  <c r="J28" i="2"/>
  <c r="K28" i="2"/>
  <c r="F24" i="2"/>
  <c r="C29" i="2"/>
  <c r="I29" i="2"/>
  <c r="F25" i="2"/>
  <c r="J29" i="2"/>
  <c r="K29" i="2"/>
  <c r="C10" i="1"/>
  <c r="C7" i="2"/>
  <c r="R6" i="1"/>
  <c r="D3" i="2"/>
  <c r="I16" i="2"/>
  <c r="I17" i="2"/>
  <c r="C30" i="2"/>
  <c r="I30" i="2"/>
  <c r="D7" i="2"/>
  <c r="J30" i="2"/>
  <c r="K30" i="2"/>
  <c r="I24" i="2"/>
  <c r="C31" i="2"/>
  <c r="I31" i="2"/>
  <c r="J31" i="2"/>
  <c r="K31" i="2"/>
  <c r="C11" i="1"/>
  <c r="C8" i="2"/>
  <c r="C32" i="2"/>
  <c r="I32" i="2"/>
  <c r="D8" i="2"/>
  <c r="J32" i="2"/>
  <c r="K32" i="2"/>
  <c r="C33" i="2"/>
  <c r="I33" i="2"/>
  <c r="J33" i="2"/>
  <c r="K33" i="2"/>
  <c r="C12" i="1"/>
  <c r="C9" i="2"/>
  <c r="F19" i="2"/>
  <c r="F20" i="2"/>
  <c r="C34" i="2"/>
  <c r="I34" i="2"/>
  <c r="D9" i="2"/>
  <c r="J34" i="2"/>
  <c r="K34" i="2"/>
  <c r="F21" i="2"/>
  <c r="C35" i="2"/>
  <c r="I35" i="2"/>
  <c r="F22" i="2"/>
  <c r="J35" i="2"/>
  <c r="K35" i="2"/>
  <c r="C13" i="1"/>
  <c r="C10" i="2"/>
  <c r="P6" i="1"/>
  <c r="B3" i="2"/>
  <c r="C16" i="2"/>
  <c r="C17" i="2"/>
  <c r="C36" i="2"/>
  <c r="I36" i="2"/>
  <c r="K36" i="2"/>
  <c r="C24" i="2"/>
  <c r="C37" i="2"/>
  <c r="I37" i="2"/>
  <c r="C25" i="2"/>
  <c r="J37" i="2"/>
  <c r="K37" i="2"/>
  <c r="C14" i="1"/>
  <c r="C11" i="2"/>
  <c r="C38" i="2"/>
  <c r="I38" i="2"/>
  <c r="D11" i="2"/>
  <c r="J38" i="2"/>
  <c r="K38" i="2"/>
  <c r="C39" i="2"/>
  <c r="I39" i="2"/>
  <c r="J39" i="2"/>
  <c r="K39" i="2"/>
  <c r="C15" i="1"/>
  <c r="C12" i="2"/>
  <c r="C40" i="2"/>
  <c r="I40" i="2"/>
  <c r="J40" i="2"/>
  <c r="K40" i="2"/>
  <c r="K43" i="2"/>
  <c r="I43" i="2"/>
  <c r="L43" i="2"/>
  <c r="C46" i="35"/>
  <c r="C46" i="29"/>
  <c r="C46" i="7"/>
  <c r="L3" i="2"/>
  <c r="D5" i="3"/>
  <c r="J5" i="3"/>
  <c r="C5" i="3"/>
  <c r="H5" i="3"/>
  <c r="B5" i="3"/>
  <c r="I5" i="3"/>
  <c r="L5" i="3"/>
  <c r="M5" i="3"/>
  <c r="N5" i="3"/>
  <c r="C36" i="35"/>
  <c r="C9" i="36"/>
  <c r="A3" i="36"/>
  <c r="D9" i="36"/>
  <c r="E9" i="36"/>
  <c r="F9" i="36"/>
  <c r="G9" i="36"/>
  <c r="C36" i="29"/>
  <c r="C9" i="30"/>
  <c r="A3" i="30"/>
  <c r="D9" i="30"/>
  <c r="E9" i="30"/>
  <c r="F9" i="30"/>
  <c r="G9" i="30"/>
  <c r="C36" i="7"/>
  <c r="C9" i="8"/>
  <c r="A3" i="8"/>
  <c r="D9" i="8"/>
  <c r="E9" i="8"/>
  <c r="F9" i="8"/>
  <c r="G9" i="8"/>
  <c r="G3" i="7"/>
  <c r="B10" i="7"/>
  <c r="E10" i="7"/>
  <c r="F10" i="7"/>
  <c r="C38" i="7"/>
  <c r="C11" i="8"/>
  <c r="B3" i="7"/>
  <c r="B3" i="8"/>
  <c r="D11" i="8"/>
  <c r="E11" i="8"/>
  <c r="F11" i="8"/>
  <c r="G11" i="8"/>
  <c r="C23" i="7"/>
  <c r="F20" i="7"/>
  <c r="G20" i="7"/>
  <c r="B23" i="7"/>
  <c r="D23" i="7"/>
  <c r="E23" i="7"/>
  <c r="G10" i="7"/>
  <c r="B17" i="7"/>
  <c r="B13" i="7"/>
  <c r="E13" i="7"/>
  <c r="G13" i="7"/>
  <c r="C17" i="7"/>
  <c r="D17" i="7"/>
  <c r="E17" i="7"/>
  <c r="F17" i="7"/>
  <c r="B20" i="7"/>
  <c r="C20" i="7"/>
  <c r="D20" i="7"/>
  <c r="E20" i="7"/>
  <c r="C3" i="7"/>
  <c r="C26" i="7"/>
  <c r="D26" i="7"/>
  <c r="D29" i="7"/>
  <c r="E29" i="7"/>
  <c r="F29" i="7"/>
  <c r="G29" i="7"/>
  <c r="D32" i="7"/>
  <c r="G32" i="7"/>
  <c r="H32" i="7"/>
  <c r="C39" i="7"/>
  <c r="C12" i="8"/>
  <c r="E12" i="8"/>
  <c r="F12" i="8"/>
  <c r="G12" i="8"/>
  <c r="D3" i="7"/>
  <c r="F3" i="7"/>
  <c r="E3" i="7"/>
  <c r="B6" i="7"/>
  <c r="C6" i="7"/>
  <c r="C10" i="7"/>
  <c r="D10" i="7"/>
  <c r="C40" i="7"/>
  <c r="C13" i="8"/>
  <c r="D13" i="8"/>
  <c r="E13" i="8"/>
  <c r="F13" i="8"/>
  <c r="G13" i="8"/>
  <c r="C41" i="7"/>
  <c r="C14" i="8"/>
  <c r="E14" i="8"/>
  <c r="F14" i="8"/>
  <c r="G14" i="8"/>
  <c r="C42" i="7"/>
  <c r="C15" i="8"/>
  <c r="E15" i="8"/>
  <c r="F15" i="8"/>
  <c r="G15" i="8"/>
  <c r="C43" i="7"/>
  <c r="C16" i="8"/>
  <c r="E16" i="8"/>
  <c r="F16" i="8"/>
  <c r="G16" i="8"/>
  <c r="C44" i="7"/>
  <c r="C17" i="8"/>
  <c r="E17" i="8"/>
  <c r="F17" i="8"/>
  <c r="G17" i="8"/>
  <c r="H13" i="7"/>
  <c r="C45" i="7"/>
  <c r="C18" i="8"/>
  <c r="D18" i="8"/>
  <c r="E18" i="8"/>
  <c r="F18" i="8"/>
  <c r="G18" i="8"/>
  <c r="C19" i="8"/>
  <c r="D19" i="8"/>
  <c r="E19" i="8"/>
  <c r="F19" i="8"/>
  <c r="G19" i="8"/>
  <c r="C13" i="7"/>
  <c r="D13" i="7"/>
  <c r="F13" i="7"/>
  <c r="C47" i="7"/>
  <c r="C20" i="8"/>
  <c r="D20" i="8"/>
  <c r="E20" i="8"/>
  <c r="F20" i="8"/>
  <c r="G20" i="8"/>
  <c r="C49" i="7"/>
  <c r="C22" i="8"/>
  <c r="D22" i="8"/>
  <c r="E22" i="8"/>
  <c r="F25" i="8"/>
  <c r="G22" i="8"/>
  <c r="C48" i="7"/>
  <c r="C21" i="8"/>
  <c r="D21" i="8"/>
  <c r="E21" i="8"/>
  <c r="F24" i="8"/>
  <c r="G21" i="8"/>
  <c r="D10" i="8"/>
  <c r="C37" i="7"/>
  <c r="C10" i="8"/>
  <c r="E10" i="8"/>
  <c r="F10" i="8"/>
  <c r="G10" i="8"/>
  <c r="D23" i="8"/>
  <c r="C50" i="7"/>
  <c r="C23" i="8"/>
  <c r="E23" i="8"/>
  <c r="F26" i="8"/>
  <c r="G23" i="8"/>
  <c r="D24" i="8"/>
  <c r="C51" i="7"/>
  <c r="C24" i="8"/>
  <c r="E24" i="8"/>
  <c r="G24" i="8"/>
  <c r="D25" i="8"/>
  <c r="C52" i="7"/>
  <c r="C25" i="8"/>
  <c r="E25" i="8"/>
  <c r="G25" i="8"/>
  <c r="D26" i="8"/>
  <c r="C53" i="7"/>
  <c r="C26" i="8"/>
  <c r="E26" i="8"/>
  <c r="G26" i="8"/>
  <c r="G27" i="8"/>
  <c r="E27" i="8"/>
  <c r="H27" i="8"/>
  <c r="G3" i="29"/>
  <c r="B10" i="29"/>
  <c r="E10" i="29"/>
  <c r="F10" i="29"/>
  <c r="C38" i="29"/>
  <c r="C11" i="30"/>
  <c r="B3" i="30"/>
  <c r="D11" i="30"/>
  <c r="E11" i="30"/>
  <c r="F11" i="30"/>
  <c r="G11" i="30"/>
  <c r="C23" i="29"/>
  <c r="F20" i="29"/>
  <c r="G20" i="29"/>
  <c r="B23" i="29"/>
  <c r="D23" i="29"/>
  <c r="E23" i="29"/>
  <c r="G10" i="29"/>
  <c r="B17" i="29"/>
  <c r="B13" i="29"/>
  <c r="E13" i="29"/>
  <c r="G13" i="29"/>
  <c r="C17" i="29"/>
  <c r="D17" i="29"/>
  <c r="E17" i="29"/>
  <c r="F17" i="29"/>
  <c r="B20" i="29"/>
  <c r="C20" i="29"/>
  <c r="D20" i="29"/>
  <c r="E20" i="29"/>
  <c r="C3" i="29"/>
  <c r="C26" i="29"/>
  <c r="D26" i="29"/>
  <c r="D29" i="29"/>
  <c r="E29" i="29"/>
  <c r="F29" i="29"/>
  <c r="G29" i="29"/>
  <c r="D32" i="29"/>
  <c r="G32" i="29"/>
  <c r="H32" i="29"/>
  <c r="C39" i="29"/>
  <c r="C12" i="30"/>
  <c r="E12" i="30"/>
  <c r="F12" i="30"/>
  <c r="G12" i="30"/>
  <c r="D3" i="29"/>
  <c r="F3" i="29"/>
  <c r="B3" i="29"/>
  <c r="E3" i="29"/>
  <c r="B6" i="29"/>
  <c r="C6" i="29"/>
  <c r="C10" i="29"/>
  <c r="D10" i="29"/>
  <c r="C40" i="29"/>
  <c r="C13" i="30"/>
  <c r="D13" i="30"/>
  <c r="E13" i="30"/>
  <c r="F13" i="30"/>
  <c r="G13" i="30"/>
  <c r="C41" i="29"/>
  <c r="C14" i="30"/>
  <c r="E14" i="30"/>
  <c r="F14" i="30"/>
  <c r="G14" i="30"/>
  <c r="C42" i="29"/>
  <c r="C15" i="30"/>
  <c r="E15" i="30"/>
  <c r="F15" i="30"/>
  <c r="G15" i="30"/>
  <c r="C43" i="29"/>
  <c r="C16" i="30"/>
  <c r="E16" i="30"/>
  <c r="F16" i="30"/>
  <c r="G16" i="30"/>
  <c r="C44" i="29"/>
  <c r="C17" i="30"/>
  <c r="E17" i="30"/>
  <c r="F17" i="30"/>
  <c r="G17" i="30"/>
  <c r="H13" i="29"/>
  <c r="C45" i="29"/>
  <c r="C18" i="30"/>
  <c r="D18" i="30"/>
  <c r="E18" i="30"/>
  <c r="F18" i="30"/>
  <c r="G18" i="30"/>
  <c r="C19" i="30"/>
  <c r="D19" i="30"/>
  <c r="E19" i="30"/>
  <c r="F19" i="30"/>
  <c r="G19" i="30"/>
  <c r="C13" i="29"/>
  <c r="D13" i="29"/>
  <c r="F13" i="29"/>
  <c r="C47" i="29"/>
  <c r="C20" i="30"/>
  <c r="D20" i="30"/>
  <c r="E20" i="30"/>
  <c r="F20" i="30"/>
  <c r="G20" i="30"/>
  <c r="C49" i="29"/>
  <c r="C22" i="30"/>
  <c r="D22" i="30"/>
  <c r="E22" i="30"/>
  <c r="F25" i="30"/>
  <c r="G22" i="30"/>
  <c r="C48" i="29"/>
  <c r="C21" i="30"/>
  <c r="D21" i="30"/>
  <c r="E21" i="30"/>
  <c r="F24" i="30"/>
  <c r="G21" i="30"/>
  <c r="D10" i="30"/>
  <c r="C37" i="29"/>
  <c r="C10" i="30"/>
  <c r="E10" i="30"/>
  <c r="F10" i="30"/>
  <c r="G10" i="30"/>
  <c r="D23" i="30"/>
  <c r="C50" i="29"/>
  <c r="C23" i="30"/>
  <c r="E23" i="30"/>
  <c r="F26" i="30"/>
  <c r="G23" i="30"/>
  <c r="D24" i="30"/>
  <c r="C51" i="29"/>
  <c r="C24" i="30"/>
  <c r="E24" i="30"/>
  <c r="G24" i="30"/>
  <c r="D25" i="30"/>
  <c r="C52" i="29"/>
  <c r="C25" i="30"/>
  <c r="E25" i="30"/>
  <c r="G25" i="30"/>
  <c r="D26" i="30"/>
  <c r="C53" i="29"/>
  <c r="C26" i="30"/>
  <c r="E26" i="30"/>
  <c r="G26" i="30"/>
  <c r="G27" i="30"/>
  <c r="E27" i="30"/>
  <c r="H27" i="30"/>
  <c r="G3" i="35"/>
  <c r="B10" i="35"/>
  <c r="E10" i="35"/>
  <c r="F10" i="35"/>
  <c r="C38" i="35"/>
  <c r="C11" i="36"/>
  <c r="B3" i="36"/>
  <c r="D11" i="36"/>
  <c r="E11" i="36"/>
  <c r="F11" i="36"/>
  <c r="G11" i="36"/>
  <c r="C23" i="35"/>
  <c r="F20" i="35"/>
  <c r="G20" i="35"/>
  <c r="B23" i="35"/>
  <c r="D23" i="35"/>
  <c r="E23" i="35"/>
  <c r="G10" i="35"/>
  <c r="B17" i="35"/>
  <c r="B13" i="35"/>
  <c r="E13" i="35"/>
  <c r="G13" i="35"/>
  <c r="C17" i="35"/>
  <c r="D17" i="35"/>
  <c r="E17" i="35"/>
  <c r="F17" i="35"/>
  <c r="B20" i="35"/>
  <c r="C20" i="35"/>
  <c r="D20" i="35"/>
  <c r="E20" i="35"/>
  <c r="C3" i="35"/>
  <c r="C26" i="35"/>
  <c r="D26" i="35"/>
  <c r="D29" i="35"/>
  <c r="E29" i="35"/>
  <c r="F29" i="35"/>
  <c r="G29" i="35"/>
  <c r="D32" i="35"/>
  <c r="G32" i="35"/>
  <c r="H32" i="35"/>
  <c r="C39" i="35"/>
  <c r="C12" i="36"/>
  <c r="E12" i="36"/>
  <c r="F12" i="36"/>
  <c r="G12" i="36"/>
  <c r="D3" i="35"/>
  <c r="F3" i="35"/>
  <c r="B3" i="35"/>
  <c r="E3" i="35"/>
  <c r="B6" i="35"/>
  <c r="C6" i="35"/>
  <c r="C10" i="35"/>
  <c r="D10" i="35"/>
  <c r="C40" i="35"/>
  <c r="C13" i="36"/>
  <c r="D13" i="36"/>
  <c r="E13" i="36"/>
  <c r="F13" i="36"/>
  <c r="G13" i="36"/>
  <c r="C41" i="35"/>
  <c r="C14" i="36"/>
  <c r="E14" i="36"/>
  <c r="F14" i="36"/>
  <c r="G14" i="36"/>
  <c r="C42" i="35"/>
  <c r="C15" i="36"/>
  <c r="E15" i="36"/>
  <c r="F15" i="36"/>
  <c r="G15" i="36"/>
  <c r="C43" i="35"/>
  <c r="C16" i="36"/>
  <c r="E16" i="36"/>
  <c r="F16" i="36"/>
  <c r="G16" i="36"/>
  <c r="C44" i="35"/>
  <c r="C17" i="36"/>
  <c r="E17" i="36"/>
  <c r="F17" i="36"/>
  <c r="G17" i="36"/>
  <c r="H13" i="35"/>
  <c r="C45" i="35"/>
  <c r="C18" i="36"/>
  <c r="D18" i="36"/>
  <c r="E18" i="36"/>
  <c r="F18" i="36"/>
  <c r="G18" i="36"/>
  <c r="C19" i="36"/>
  <c r="D19" i="36"/>
  <c r="E19" i="36"/>
  <c r="F19" i="36"/>
  <c r="G19" i="36"/>
  <c r="C13" i="35"/>
  <c r="D13" i="35"/>
  <c r="F13" i="35"/>
  <c r="C47" i="35"/>
  <c r="C20" i="36"/>
  <c r="D20" i="36"/>
  <c r="E20" i="36"/>
  <c r="F20" i="36"/>
  <c r="G20" i="36"/>
  <c r="C49" i="35"/>
  <c r="C22" i="36"/>
  <c r="D22" i="36"/>
  <c r="E22" i="36"/>
  <c r="F25" i="36"/>
  <c r="G22" i="36"/>
  <c r="C48" i="35"/>
  <c r="C21" i="36"/>
  <c r="D21" i="36"/>
  <c r="E21" i="36"/>
  <c r="F24" i="36"/>
  <c r="G21" i="36"/>
  <c r="D10" i="36"/>
  <c r="C37" i="35"/>
  <c r="C10" i="36"/>
  <c r="E10" i="36"/>
  <c r="F10" i="36"/>
  <c r="G10" i="36"/>
  <c r="D23" i="36"/>
  <c r="C50" i="35"/>
  <c r="C23" i="36"/>
  <c r="E23" i="36"/>
  <c r="F26" i="36"/>
  <c r="G23" i="36"/>
  <c r="D24" i="36"/>
  <c r="C51" i="35"/>
  <c r="C24" i="36"/>
  <c r="E24" i="36"/>
  <c r="G24" i="36"/>
  <c r="D25" i="36"/>
  <c r="C52" i="35"/>
  <c r="C25" i="36"/>
  <c r="E25" i="36"/>
  <c r="G25" i="36"/>
  <c r="D26" i="36"/>
  <c r="C53" i="35"/>
  <c r="C26" i="36"/>
  <c r="E26" i="36"/>
  <c r="G26" i="36"/>
  <c r="G27" i="36"/>
  <c r="E27" i="36"/>
  <c r="H27" i="36"/>
  <c r="H10" i="36"/>
  <c r="J10" i="36"/>
  <c r="H10" i="30"/>
  <c r="J10" i="30"/>
  <c r="H10" i="8"/>
  <c r="J10" i="8"/>
  <c r="L29" i="2"/>
  <c r="N29" i="2"/>
  <c r="K3" i="21"/>
  <c r="N3" i="2"/>
  <c r="E3" i="21"/>
  <c r="F3" i="21"/>
  <c r="H3" i="21"/>
  <c r="B7" i="21"/>
  <c r="I3" i="21"/>
  <c r="J3" i="21"/>
  <c r="E13" i="21"/>
  <c r="C3" i="21"/>
  <c r="F12" i="21"/>
  <c r="G12" i="21"/>
  <c r="B3" i="21"/>
  <c r="H16" i="21"/>
  <c r="H12" i="21"/>
  <c r="I13" i="21"/>
  <c r="J13" i="21"/>
  <c r="K13" i="21"/>
  <c r="C60" i="1"/>
  <c r="E14" i="21"/>
  <c r="I14" i="21"/>
  <c r="J14" i="21"/>
  <c r="K14" i="21"/>
  <c r="C53" i="1"/>
  <c r="D3" i="36"/>
  <c r="M28" i="2"/>
  <c r="I9" i="36"/>
  <c r="H9" i="36"/>
  <c r="J9" i="36"/>
  <c r="I11" i="36"/>
  <c r="H11" i="36"/>
  <c r="J11" i="36"/>
  <c r="I12" i="36"/>
  <c r="H12" i="36"/>
  <c r="J12" i="36"/>
  <c r="I13" i="36"/>
  <c r="H13" i="36"/>
  <c r="J13" i="36"/>
  <c r="D14" i="36"/>
  <c r="H14" i="36"/>
  <c r="J14" i="36"/>
  <c r="I15" i="36"/>
  <c r="H15" i="36"/>
  <c r="J15" i="36"/>
  <c r="D16" i="36"/>
  <c r="H16" i="36"/>
  <c r="J16" i="36"/>
  <c r="I17" i="36"/>
  <c r="H17" i="36"/>
  <c r="J17" i="36"/>
  <c r="I18" i="36"/>
  <c r="H18" i="36"/>
  <c r="J18" i="36"/>
  <c r="I19" i="36"/>
  <c r="H19" i="36"/>
  <c r="J19" i="36"/>
  <c r="I20" i="36"/>
  <c r="H20" i="36"/>
  <c r="J20" i="36"/>
  <c r="H21" i="36"/>
  <c r="J21" i="36"/>
  <c r="M36" i="2"/>
  <c r="I22" i="36"/>
  <c r="H22" i="36"/>
  <c r="J22" i="36"/>
  <c r="H23" i="36"/>
  <c r="J23" i="36"/>
  <c r="M38" i="2"/>
  <c r="I24" i="36"/>
  <c r="H24" i="36"/>
  <c r="J24" i="36"/>
  <c r="H25" i="36"/>
  <c r="J25" i="36"/>
  <c r="M40" i="2"/>
  <c r="I26" i="36"/>
  <c r="H26" i="36"/>
  <c r="J26" i="36"/>
  <c r="J27" i="36"/>
  <c r="H28" i="36"/>
  <c r="C29" i="36"/>
  <c r="C30" i="36"/>
  <c r="C31" i="36"/>
  <c r="B34" i="36"/>
  <c r="B35" i="36"/>
  <c r="B53" i="1"/>
  <c r="J61" i="1"/>
  <c r="B60" i="1"/>
  <c r="D60" i="1"/>
  <c r="K60" i="1"/>
  <c r="J60" i="1"/>
  <c r="E60" i="1"/>
  <c r="G60" i="1"/>
  <c r="F60" i="1"/>
  <c r="L59" i="1"/>
  <c r="K59" i="1"/>
  <c r="J59" i="1"/>
  <c r="M58" i="1"/>
  <c r="L58" i="1"/>
  <c r="K58" i="1"/>
  <c r="J54" i="1"/>
  <c r="D53" i="1"/>
  <c r="K53" i="1"/>
  <c r="J53" i="1"/>
  <c r="E53" i="1"/>
  <c r="G53" i="1"/>
  <c r="F53" i="1"/>
  <c r="L52" i="1"/>
  <c r="K52" i="1"/>
  <c r="J52" i="1"/>
  <c r="M51" i="1"/>
  <c r="L51" i="1"/>
  <c r="K51" i="1"/>
  <c r="L33" i="2"/>
  <c r="N33" i="2"/>
  <c r="L35" i="2"/>
  <c r="N35" i="2"/>
  <c r="L31" i="2"/>
  <c r="N31" i="2"/>
  <c r="L39" i="2"/>
  <c r="N39" i="2"/>
  <c r="L37" i="2"/>
  <c r="N37" i="2"/>
  <c r="H21" i="8"/>
  <c r="J21" i="8"/>
  <c r="E12" i="21"/>
  <c r="I12" i="21"/>
  <c r="J12" i="21"/>
  <c r="F13" i="21"/>
  <c r="G13" i="21"/>
  <c r="H13" i="21"/>
  <c r="F14" i="21"/>
  <c r="G14" i="21"/>
  <c r="H14" i="21"/>
  <c r="D15" i="36"/>
  <c r="D17" i="36"/>
  <c r="D12" i="36"/>
  <c r="D5" i="34"/>
  <c r="J5" i="34"/>
  <c r="J28" i="36"/>
  <c r="J29" i="36"/>
  <c r="E28" i="36"/>
  <c r="C27" i="36"/>
  <c r="B26" i="36"/>
  <c r="B25" i="36"/>
  <c r="B24" i="36"/>
  <c r="F23" i="36"/>
  <c r="B23" i="36"/>
  <c r="F22" i="36"/>
  <c r="B22" i="36"/>
  <c r="F21" i="36"/>
  <c r="B21" i="36"/>
  <c r="B20" i="36"/>
  <c r="B19" i="36"/>
  <c r="B18" i="36"/>
  <c r="B17" i="36"/>
  <c r="B16" i="36"/>
  <c r="B15" i="36"/>
  <c r="B14" i="36"/>
  <c r="B13" i="36"/>
  <c r="B12" i="36"/>
  <c r="M30" i="2"/>
  <c r="M3" i="2"/>
  <c r="O5" i="3"/>
  <c r="K11" i="36"/>
  <c r="B11" i="36"/>
  <c r="B10" i="36"/>
  <c r="B9" i="36"/>
  <c r="C3" i="36"/>
  <c r="D45" i="35"/>
  <c r="E32" i="35"/>
  <c r="H14" i="35"/>
  <c r="G14" i="35"/>
  <c r="D6" i="35"/>
  <c r="E6" i="35"/>
  <c r="H3" i="35"/>
  <c r="B5" i="34"/>
  <c r="C5" i="34"/>
  <c r="H5" i="34"/>
  <c r="I5" i="34"/>
  <c r="L5" i="34"/>
  <c r="M5" i="34"/>
  <c r="N5" i="34"/>
  <c r="O5" i="34"/>
  <c r="E5" i="34"/>
  <c r="D15" i="30"/>
  <c r="D16" i="30"/>
  <c r="D17" i="30"/>
  <c r="D14" i="30"/>
  <c r="D12" i="30"/>
  <c r="D5" i="28"/>
  <c r="J5" i="28"/>
  <c r="D3" i="30"/>
  <c r="I9" i="30"/>
  <c r="H9" i="30"/>
  <c r="J9" i="30"/>
  <c r="I11" i="30"/>
  <c r="H11" i="30"/>
  <c r="J11" i="30"/>
  <c r="I12" i="30"/>
  <c r="H12" i="30"/>
  <c r="J12" i="30"/>
  <c r="I13" i="30"/>
  <c r="H13" i="30"/>
  <c r="J13" i="30"/>
  <c r="H14" i="30"/>
  <c r="J14" i="30"/>
  <c r="I15" i="30"/>
  <c r="H15" i="30"/>
  <c r="J15" i="30"/>
  <c r="H16" i="30"/>
  <c r="J16" i="30"/>
  <c r="I17" i="30"/>
  <c r="H17" i="30"/>
  <c r="J17" i="30"/>
  <c r="I18" i="30"/>
  <c r="H18" i="30"/>
  <c r="J18" i="30"/>
  <c r="I19" i="30"/>
  <c r="H19" i="30"/>
  <c r="J19" i="30"/>
  <c r="I20" i="30"/>
  <c r="H20" i="30"/>
  <c r="J20" i="30"/>
  <c r="H21" i="30"/>
  <c r="J21" i="30"/>
  <c r="I22" i="30"/>
  <c r="H22" i="30"/>
  <c r="J22" i="30"/>
  <c r="H23" i="30"/>
  <c r="J23" i="30"/>
  <c r="I24" i="30"/>
  <c r="H24" i="30"/>
  <c r="J24" i="30"/>
  <c r="H25" i="30"/>
  <c r="J25" i="30"/>
  <c r="I26" i="30"/>
  <c r="H26" i="30"/>
  <c r="J26" i="30"/>
  <c r="J27" i="30"/>
  <c r="H28" i="30"/>
  <c r="C29" i="30"/>
  <c r="C30" i="30"/>
  <c r="C31" i="30"/>
  <c r="B34" i="30"/>
  <c r="B35" i="30"/>
  <c r="J28" i="30"/>
  <c r="J29" i="30"/>
  <c r="E28" i="30"/>
  <c r="C27" i="30"/>
  <c r="B26" i="30"/>
  <c r="B25" i="30"/>
  <c r="B24" i="30"/>
  <c r="F23" i="30"/>
  <c r="B23" i="30"/>
  <c r="F22" i="30"/>
  <c r="B22" i="30"/>
  <c r="F21" i="30"/>
  <c r="B21" i="30"/>
  <c r="B20" i="30"/>
  <c r="B19" i="30"/>
  <c r="B18" i="30"/>
  <c r="B17" i="30"/>
  <c r="B16" i="30"/>
  <c r="B15" i="30"/>
  <c r="B14" i="30"/>
  <c r="B13" i="30"/>
  <c r="B12" i="30"/>
  <c r="K11" i="30"/>
  <c r="B11" i="30"/>
  <c r="B10" i="30"/>
  <c r="B9" i="30"/>
  <c r="C3" i="30"/>
  <c r="D45" i="29"/>
  <c r="E32" i="29"/>
  <c r="H14" i="29"/>
  <c r="G14" i="29"/>
  <c r="D6" i="29"/>
  <c r="E6" i="29"/>
  <c r="H3" i="29"/>
  <c r="B5" i="28"/>
  <c r="C5" i="28"/>
  <c r="H5" i="28"/>
  <c r="I5" i="28"/>
  <c r="L5" i="28"/>
  <c r="M5" i="28"/>
  <c r="N5" i="28"/>
  <c r="O5" i="28"/>
  <c r="E5" i="28"/>
  <c r="D16" i="8"/>
  <c r="H16" i="8"/>
  <c r="J16" i="8"/>
  <c r="D14" i="8"/>
  <c r="H14" i="8"/>
  <c r="J14" i="8"/>
  <c r="H25" i="8"/>
  <c r="J25" i="8"/>
  <c r="H23" i="8"/>
  <c r="J23" i="8"/>
  <c r="I26" i="8"/>
  <c r="H26" i="8"/>
  <c r="J26" i="8"/>
  <c r="I24" i="8"/>
  <c r="H24" i="8"/>
  <c r="J24" i="8"/>
  <c r="I22" i="8"/>
  <c r="H22" i="8"/>
  <c r="J22" i="8"/>
  <c r="I9" i="8"/>
  <c r="H9" i="8"/>
  <c r="J9" i="8"/>
  <c r="I11" i="8"/>
  <c r="H11" i="8"/>
  <c r="J11" i="8"/>
  <c r="I12" i="8"/>
  <c r="H12" i="8"/>
  <c r="J12" i="8"/>
  <c r="I13" i="8"/>
  <c r="H13" i="8"/>
  <c r="J13" i="8"/>
  <c r="I15" i="8"/>
  <c r="H15" i="8"/>
  <c r="J15" i="8"/>
  <c r="I17" i="8"/>
  <c r="H17" i="8"/>
  <c r="J17" i="8"/>
  <c r="I18" i="8"/>
  <c r="H18" i="8"/>
  <c r="J18" i="8"/>
  <c r="I19" i="8"/>
  <c r="H19" i="8"/>
  <c r="J19" i="8"/>
  <c r="I20" i="8"/>
  <c r="H20" i="8"/>
  <c r="J20" i="8"/>
  <c r="J27" i="8"/>
  <c r="H28" i="8"/>
  <c r="C29" i="8"/>
  <c r="F22" i="8"/>
  <c r="F23" i="8"/>
  <c r="F21" i="8"/>
  <c r="D15" i="8"/>
  <c r="D17" i="8"/>
  <c r="D12" i="8"/>
  <c r="C43" i="2"/>
  <c r="C27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9" i="8"/>
  <c r="D45" i="7"/>
  <c r="E32" i="7"/>
  <c r="G14" i="7"/>
  <c r="H14" i="7"/>
  <c r="H3" i="7"/>
  <c r="M34" i="2"/>
  <c r="M32" i="2"/>
  <c r="L44" i="2"/>
  <c r="D10" i="2"/>
  <c r="D12" i="2"/>
  <c r="D6" i="7"/>
  <c r="E5" i="3"/>
  <c r="K11" i="8"/>
  <c r="E28" i="8"/>
  <c r="J3" i="2"/>
  <c r="I44" i="2"/>
  <c r="I45" i="2"/>
  <c r="L28" i="2"/>
  <c r="N28" i="2"/>
  <c r="L30" i="2"/>
  <c r="N30" i="2"/>
  <c r="L32" i="2"/>
  <c r="N32" i="2"/>
  <c r="L34" i="2"/>
  <c r="N34" i="2"/>
  <c r="L36" i="2"/>
  <c r="N36" i="2"/>
  <c r="L38" i="2"/>
  <c r="N38" i="2"/>
  <c r="L40" i="2"/>
  <c r="N40" i="2"/>
  <c r="N43" i="2"/>
  <c r="N44" i="2"/>
  <c r="C30" i="8"/>
  <c r="C31" i="8"/>
  <c r="D3" i="8"/>
  <c r="B34" i="8"/>
  <c r="B35" i="8"/>
  <c r="P34" i="2"/>
  <c r="I25" i="2"/>
  <c r="K12" i="21"/>
  <c r="F7" i="21"/>
  <c r="D7" i="21"/>
  <c r="C7" i="21"/>
  <c r="D33" i="1"/>
  <c r="D35" i="1"/>
  <c r="E7" i="2"/>
  <c r="J28" i="8"/>
  <c r="J29" i="8"/>
  <c r="C3" i="8"/>
  <c r="E6" i="7"/>
  <c r="B6" i="2"/>
  <c r="D6" i="2"/>
  <c r="E6" i="2"/>
  <c r="B7" i="2"/>
  <c r="B8" i="2"/>
  <c r="E8" i="2"/>
  <c r="B9" i="2"/>
  <c r="B10" i="2"/>
  <c r="B11" i="2"/>
  <c r="B12" i="2"/>
  <c r="E12" i="2"/>
  <c r="C5" i="2"/>
  <c r="D5" i="2"/>
  <c r="E5" i="2"/>
  <c r="C2" i="2"/>
  <c r="D2" i="2"/>
  <c r="C18" i="2"/>
  <c r="N45" i="2"/>
  <c r="C44" i="2"/>
  <c r="F23" i="2"/>
  <c r="F18" i="2"/>
  <c r="C15" i="2"/>
  <c r="L15" i="2"/>
  <c r="L25" i="2"/>
  <c r="I15" i="2"/>
  <c r="L24" i="2"/>
  <c r="L16" i="2"/>
  <c r="L20" i="2"/>
  <c r="L23" i="2"/>
  <c r="I20" i="2"/>
  <c r="I23" i="2"/>
  <c r="L19" i="2"/>
  <c r="L17" i="2"/>
  <c r="L22" i="2"/>
  <c r="I19" i="2"/>
  <c r="I22" i="2"/>
  <c r="L18" i="2"/>
  <c r="L21" i="2"/>
  <c r="I18" i="2"/>
  <c r="I21" i="2"/>
  <c r="C21" i="2"/>
  <c r="E2" i="2"/>
  <c r="H2" i="2"/>
  <c r="I2" i="2"/>
  <c r="J2" i="2"/>
  <c r="K2" i="2"/>
  <c r="L2" i="2"/>
  <c r="M2" i="2"/>
  <c r="B5" i="2"/>
  <c r="B2" i="2"/>
  <c r="E11" i="2"/>
  <c r="C19" i="2"/>
  <c r="C22" i="2"/>
  <c r="E10" i="2"/>
  <c r="C20" i="2"/>
  <c r="C23" i="2"/>
  <c r="E9" i="2"/>
</calcChain>
</file>

<file path=xl/sharedStrings.xml><?xml version="1.0" encoding="utf-8"?>
<sst xmlns="http://schemas.openxmlformats.org/spreadsheetml/2006/main" count="444" uniqueCount="172">
  <si>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</si>
  <si>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</si>
  <si>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</si>
  <si>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</si>
  <si>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</si>
  <si>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</si>
  <si>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</si>
  <si>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</si>
  <si>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</si>
  <si>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</si>
  <si>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</si>
  <si>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</si>
  <si>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</si>
  <si>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</si>
  <si>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</si>
  <si>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</si>
  <si>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</si>
  <si>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</si>
  <si>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</si>
  <si>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</si>
  <si>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</si>
  <si>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</si>
  <si>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</si>
  <si>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</si>
  <si>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</si>
  <si>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</si>
  <si>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</si>
  <si>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</si>
  <si>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</si>
  <si>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</si>
  <si>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</si>
  <si>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</si>
  <si>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</si>
  <si>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</si>
  <si>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</si>
  <si>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</si>
  <si>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</si>
  <si>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</si>
  <si>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</si>
  <si>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</si>
  <si>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</si>
  <si>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</si>
  <si>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</si>
  <si>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</si>
  <si>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</si>
  <si>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</si>
  <si>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</si>
  <si>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</si>
  <si>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total</t>
  </si>
  <si>
    <r>
      <t>h</t>
    </r>
    <r>
      <rPr>
        <vertAlign val="subscript"/>
        <sz val="11"/>
        <color theme="1"/>
        <rFont val="Times New Roman"/>
        <family val="1"/>
      </rPr>
      <t>w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</si>
  <si>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</si>
  <si>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</si>
  <si>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</si>
  <si>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</si>
  <si>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</si>
  <si>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ec</t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</si>
  <si>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</si>
  <si>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</si>
  <si>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</si>
  <si>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</si>
  <si>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</si>
  <si>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</si>
  <si>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</si>
  <si>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</si>
  <si>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</si>
  <si>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</si>
  <si>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</si>
  <si>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</si>
  <si>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</si>
  <si>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</si>
  <si>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</si>
  <si>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</si>
  <si>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</si>
  <si>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</si>
  <si>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</si>
  <si>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</si>
  <si>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</si>
  <si>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$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</si>
  <si>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</si>
  <si>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</si>
  <si>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</si>
  <si>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</si>
  <si>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</si>
  <si>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</si>
  <si>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</si>
  <si>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</si>
  <si>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</si>
  <si>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</si>
  <si>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</si>
  <si>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</si>
  <si>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</si>
  <si>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</si>
  <si>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r>
      <t>s</t>
    </r>
    <r>
      <rPr>
        <vertAlign val="subscript"/>
        <sz val="11"/>
        <color theme="1"/>
        <rFont val="Times New Roman"/>
        <family val="1"/>
      </rPr>
      <t>eff,2</t>
    </r>
  </si>
  <si>
    <r>
      <t>s</t>
    </r>
    <r>
      <rPr>
        <vertAlign val="subscript"/>
        <sz val="11"/>
        <color theme="1"/>
        <rFont val="Times New Roman"/>
        <family val="1"/>
      </rPr>
      <t>eff,3</t>
    </r>
  </si>
  <si>
    <t>&gt;</t>
  </si>
  <si>
    <r>
      <t>e</t>
    </r>
    <r>
      <rPr>
        <vertAlign val="subscript"/>
        <sz val="11"/>
        <rFont val="Times New Roman"/>
        <family val="1"/>
      </rPr>
      <t>max</t>
    </r>
  </si>
  <si>
    <r>
      <t>e</t>
    </r>
    <r>
      <rPr>
        <vertAlign val="subscript"/>
        <sz val="11"/>
        <rFont val="Times New Roman"/>
        <family val="1"/>
      </rPr>
      <t>min</t>
    </r>
  </si>
  <si>
    <r>
      <rPr>
        <sz val="11"/>
        <rFont val="Calibri"/>
        <family val="2"/>
      </rPr>
      <t>κ</t>
    </r>
    <r>
      <rPr>
        <vertAlign val="subscript"/>
        <sz val="11"/>
        <rFont val="Times New Roman"/>
        <family val="1"/>
      </rPr>
      <t>a,s</t>
    </r>
  </si>
  <si>
    <r>
      <t>R</t>
    </r>
    <r>
      <rPr>
        <vertAlign val="subscript"/>
        <sz val="11"/>
        <rFont val="Times New Roman"/>
        <family val="1"/>
      </rPr>
      <t xml:space="preserve">w,Rd </t>
    </r>
    <r>
      <rPr>
        <sz val="11"/>
        <rFont val="Times New Roman"/>
      </rPr>
      <t>(N)</t>
    </r>
  </si>
  <si>
    <t>bd</t>
  </si>
  <si>
    <t>θ2</t>
  </si>
  <si>
    <r>
      <t>f</t>
    </r>
    <r>
      <rPr>
        <vertAlign val="subscript"/>
        <sz val="11"/>
        <rFont val="Times New Roman"/>
        <family val="1"/>
      </rPr>
      <t xml:space="preserve">yb </t>
    </r>
    <r>
      <rPr>
        <sz val="11"/>
        <rFont val="Times New Roman"/>
      </rPr>
      <t>(N/mm²)</t>
    </r>
  </si>
  <si>
    <r>
      <t>σ</t>
    </r>
    <r>
      <rPr>
        <vertAlign val="subscript"/>
        <sz val="11"/>
        <rFont val="Times New Roman"/>
        <family val="1"/>
      </rPr>
      <t>com</t>
    </r>
  </si>
  <si>
    <r>
      <t>s</t>
    </r>
    <r>
      <rPr>
        <vertAlign val="subscript"/>
        <sz val="11"/>
        <rFont val="Times New Roman"/>
        <family val="1"/>
      </rPr>
      <t>n</t>
    </r>
  </si>
  <si>
    <r>
      <t>s</t>
    </r>
    <r>
      <rPr>
        <vertAlign val="subscript"/>
        <sz val="11"/>
        <rFont val="Times New Roman"/>
        <family val="1"/>
      </rPr>
      <t>eff,0</t>
    </r>
  </si>
  <si>
    <r>
      <t>s</t>
    </r>
    <r>
      <rPr>
        <vertAlign val="subscript"/>
        <sz val="11"/>
        <rFont val="Times New Roman"/>
        <family val="1"/>
      </rPr>
      <t>eff,1</t>
    </r>
  </si>
  <si>
    <r>
      <t>s</t>
    </r>
    <r>
      <rPr>
        <vertAlign val="subscript"/>
        <sz val="11"/>
        <rFont val="Times New Roman"/>
        <family val="1"/>
      </rPr>
      <t>eff,n</t>
    </r>
  </si>
  <si>
    <r>
      <t>s</t>
    </r>
    <r>
      <rPr>
        <vertAlign val="subscript"/>
        <sz val="11"/>
        <rFont val="Times New Roman"/>
        <family val="1"/>
      </rPr>
      <t>eff,1</t>
    </r>
    <r>
      <rPr>
        <sz val="11"/>
        <rFont val="Times New Roman"/>
      </rPr>
      <t xml:space="preserve"> + s</t>
    </r>
    <r>
      <rPr>
        <vertAlign val="subscript"/>
        <sz val="11"/>
        <rFont val="Times New Roman"/>
        <family val="1"/>
      </rPr>
      <t>eff,n</t>
    </r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</si>
  <si>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</si>
  <si>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A</t>
    </r>
    <r>
      <rPr>
        <vertAlign val="subscript"/>
        <sz val="11"/>
        <rFont val="Times New Roman"/>
        <family val="1"/>
      </rPr>
      <t>i</t>
    </r>
    <r>
      <rPr>
        <sz val="11"/>
        <rFont val="Times New Roman"/>
      </rPr>
      <t>(mm²)</t>
    </r>
  </si>
  <si>
    <r>
      <t>S</t>
    </r>
    <r>
      <rPr>
        <vertAlign val="subscript"/>
        <sz val="11"/>
        <rFont val="Times New Roman"/>
        <family val="1"/>
      </rPr>
      <t>i</t>
    </r>
    <r>
      <rPr>
        <sz val="11"/>
        <rFont val="Times New Roman"/>
      </rPr>
      <t>(mm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</rPr>
      <t>)</t>
    </r>
  </si>
  <si>
    <r>
      <t>h</t>
    </r>
    <r>
      <rPr>
        <vertAlign val="subscript"/>
        <sz val="11"/>
        <rFont val="Times New Roman"/>
        <family val="1"/>
      </rPr>
      <t>a</t>
    </r>
  </si>
  <si>
    <r>
      <t>s</t>
    </r>
    <r>
      <rPr>
        <vertAlign val="subscript"/>
        <sz val="11"/>
        <rFont val="Times New Roman"/>
        <family val="1"/>
      </rPr>
      <t>eff,2</t>
    </r>
  </si>
  <si>
    <r>
      <t>h</t>
    </r>
    <r>
      <rPr>
        <vertAlign val="subscript"/>
        <sz val="11"/>
        <rFont val="Times New Roman"/>
        <family val="1"/>
      </rPr>
      <t>sa</t>
    </r>
  </si>
  <si>
    <r>
      <t>s</t>
    </r>
    <r>
      <rPr>
        <vertAlign val="subscript"/>
        <sz val="11"/>
        <rFont val="Times New Roman"/>
        <family val="1"/>
      </rPr>
      <t>eff,3</t>
    </r>
  </si>
  <si>
    <r>
      <t>s</t>
    </r>
    <r>
      <rPr>
        <vertAlign val="subscript"/>
        <sz val="11"/>
        <rFont val="Times New Roman"/>
        <family val="1"/>
      </rPr>
      <t>eff,3</t>
    </r>
    <r>
      <rPr>
        <sz val="11"/>
        <rFont val="Times New Roman"/>
      </rPr>
      <t xml:space="preserve"> + s</t>
    </r>
    <r>
      <rPr>
        <vertAlign val="subscript"/>
        <sz val="11"/>
        <rFont val="Times New Roman"/>
        <family val="1"/>
      </rPr>
      <t>eff,n</t>
    </r>
  </si>
  <si>
    <r>
      <t>s</t>
    </r>
    <r>
      <rPr>
        <strike/>
        <vertAlign val="subscript"/>
        <sz val="11"/>
        <rFont val="Times New Roman"/>
        <family val="1"/>
      </rPr>
      <t>n</t>
    </r>
  </si>
  <si>
    <r>
      <t>s</t>
    </r>
    <r>
      <rPr>
        <vertAlign val="subscript"/>
        <sz val="11"/>
        <rFont val="Times New Roman"/>
        <family val="1"/>
      </rPr>
      <t>eff,1</t>
    </r>
    <r>
      <rPr>
        <sz val="11"/>
        <rFont val="Times New Roman"/>
      </rPr>
      <t>+ s</t>
    </r>
    <r>
      <rPr>
        <vertAlign val="subscript"/>
        <sz val="11"/>
        <rFont val="Times New Roman"/>
        <family val="1"/>
      </rPr>
      <t>eff,2</t>
    </r>
  </si>
  <si>
    <t>raidsseur comprimé</t>
  </si>
  <si>
    <r>
      <t>s</t>
    </r>
    <r>
      <rPr>
        <vertAlign val="subscript"/>
        <sz val="1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</si>
  <si>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sa</t>
    </r>
  </si>
  <si>
    <r>
      <t>A</t>
    </r>
    <r>
      <rPr>
        <vertAlign val="subscript"/>
        <sz val="11"/>
        <color theme="1"/>
        <rFont val="Times New Roman"/>
        <family val="1"/>
      </rPr>
      <t>sa</t>
    </r>
    <r>
      <rPr>
        <sz val="11"/>
        <color theme="1"/>
        <rFont val="Times New Roman"/>
        <family val="1"/>
      </rPr>
      <t>/t</t>
    </r>
  </si>
  <si>
    <r>
      <t>A</t>
    </r>
    <r>
      <rPr>
        <vertAlign val="subscript"/>
        <sz val="11"/>
        <color theme="1"/>
        <rFont val="Times New Roman"/>
        <family val="1"/>
      </rPr>
      <t>sa</t>
    </r>
  </si>
  <si>
    <r>
      <t>s</t>
    </r>
    <r>
      <rPr>
        <vertAlign val="subscript"/>
        <sz val="11"/>
        <color theme="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</si>
  <si>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c</t>
    </r>
  </si>
  <si>
    <r>
      <t>s</t>
    </r>
    <r>
      <rPr>
        <vertAlign val="subscript"/>
        <sz val="11"/>
        <color theme="1"/>
        <rFont val="Times New Roman"/>
        <family val="1"/>
      </rPr>
      <t>1</t>
    </r>
  </si>
  <si>
    <r>
      <t>s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</si>
  <si>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/t</t>
    </r>
  </si>
  <si>
    <r>
      <t>I</t>
    </r>
    <r>
      <rPr>
        <vertAlign val="subscript"/>
        <sz val="11"/>
        <color theme="1"/>
        <rFont val="Times New Roman"/>
        <family val="1"/>
      </rPr>
      <t>s</t>
    </r>
  </si>
  <si>
    <r>
      <t>k</t>
    </r>
    <r>
      <rPr>
        <vertAlign val="subscript"/>
        <sz val="11"/>
        <color theme="1"/>
        <rFont val="Times New Roman"/>
        <family val="1"/>
      </rPr>
      <t>f</t>
    </r>
  </si>
  <si>
    <r>
      <t>σ</t>
    </r>
    <r>
      <rPr>
        <vertAlign val="subscript"/>
        <sz val="11"/>
        <color theme="1"/>
        <rFont val="Times New Roman"/>
        <family val="1"/>
      </rPr>
      <t>cr,sa</t>
    </r>
  </si>
  <si>
    <t>e</t>
  </si>
  <si>
    <t>3eff</t>
  </si>
  <si>
    <t>Asa,red</t>
  </si>
  <si>
    <t>sper</t>
  </si>
  <si>
    <t>FILL RED CELLS</t>
  </si>
  <si>
    <t>1) DATA</t>
  </si>
  <si>
    <t>2) Checking of geometrical proportions</t>
  </si>
  <si>
    <t xml:space="preserve"> bu=60mm</t>
  </si>
  <si>
    <r>
      <t>M</t>
    </r>
    <r>
      <rPr>
        <b/>
        <vertAlign val="subscript"/>
        <sz val="14"/>
        <color theme="1"/>
        <rFont val="Calibri"/>
        <scheme val="minor"/>
      </rPr>
      <t xml:space="preserve">max </t>
    </r>
  </si>
  <si>
    <r>
      <t>R</t>
    </r>
    <r>
      <rPr>
        <b/>
        <vertAlign val="subscript"/>
        <sz val="14"/>
        <color theme="1"/>
        <rFont val="Calibri"/>
        <scheme val="minor"/>
      </rPr>
      <t>max</t>
    </r>
  </si>
  <si>
    <r>
      <t>M</t>
    </r>
    <r>
      <rPr>
        <b/>
        <vertAlign val="subscript"/>
        <sz val="14"/>
        <color theme="1"/>
        <rFont val="Calibri"/>
        <scheme val="minor"/>
      </rPr>
      <t>min</t>
    </r>
  </si>
  <si>
    <r>
      <t>R</t>
    </r>
    <r>
      <rPr>
        <b/>
        <vertAlign val="subscript"/>
        <sz val="14"/>
        <color theme="1"/>
        <rFont val="Calibri"/>
        <scheme val="minor"/>
      </rPr>
      <t>min</t>
    </r>
  </si>
  <si>
    <r>
      <t>M</t>
    </r>
    <r>
      <rPr>
        <b/>
        <vertAlign val="subscript"/>
        <sz val="14"/>
        <color theme="1"/>
        <rFont val="Calibri"/>
        <scheme val="minor"/>
      </rPr>
      <t>0</t>
    </r>
  </si>
  <si>
    <r>
      <t>R</t>
    </r>
    <r>
      <rPr>
        <b/>
        <vertAlign val="subscript"/>
        <sz val="14"/>
        <color theme="1"/>
        <rFont val="Calibri"/>
        <scheme val="minor"/>
      </rPr>
      <t>0</t>
    </r>
  </si>
  <si>
    <t>kN/m</t>
  </si>
  <si>
    <t xml:space="preserve"> bu=160mm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</si>
  <si>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</si>
  <si>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</si>
  <si>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</si>
  <si>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</si>
  <si>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Pitch (mm)</t>
  </si>
  <si>
    <t>hw (mm)</t>
  </si>
  <si>
    <t>e (mm)</t>
  </si>
  <si>
    <t>d (mm)</t>
  </si>
  <si>
    <r>
      <t>s</t>
    </r>
    <r>
      <rPr>
        <vertAlign val="subscript"/>
        <sz val="11"/>
        <color theme="1"/>
        <rFont val="Times New Roman"/>
        <family val="1"/>
      </rPr>
      <t xml:space="preserve">per </t>
    </r>
    <r>
      <rPr>
        <sz val="11"/>
        <color theme="1"/>
        <rFont val="Times New Roman"/>
        <family val="1"/>
      </rPr>
      <t>(mm)</t>
    </r>
  </si>
  <si>
    <t>(sper is the slant height of the perforated portion of the web)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</si>
  <si>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</si>
  <si>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</si>
  <si>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</si>
  <si>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</si>
  <si>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r>
      <t>g</t>
    </r>
    <r>
      <rPr>
        <sz val="11"/>
        <color theme="1"/>
        <rFont val="Calibri"/>
        <family val="2"/>
      </rPr>
      <t>θ2sup</t>
    </r>
  </si>
  <si>
    <t>fθ2sup</t>
  </si>
  <si>
    <t>lcθ2sup</t>
  </si>
  <si>
    <t>Ccθ2sup</t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</si>
  <si>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</si>
  <si>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</si>
  <si>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</si>
  <si>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t>3) RESULTS</t>
  </si>
  <si>
    <r>
      <t>t</t>
    </r>
    <r>
      <rPr>
        <sz val="11"/>
        <color theme="1"/>
        <rFont val="Times New Roman"/>
        <family val="1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</si>
  <si>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</si>
  <si>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comprime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</si>
</sst>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name val="Calibri"/>
      <scheme val="minor"/>
    </font>
    <font>
      <strike/>
      <sz val="11"/>
      <name val="Times New Roman"/>
    </font>
    <font>
      <strike/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2"/>
      <name val="Times New Roman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scheme val="minor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2" fontId="4" fillId="0" borderId="1" xfId="0" applyNumberFormat="1" applyFont="1" applyBorder="1"/>
    <xf numFmtId="165" fontId="1" fillId="6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165" fontId="0" fillId="0" borderId="0" xfId="0" applyNumberFormat="1"/>
    <xf numFmtId="165" fontId="1" fillId="7" borderId="1" xfId="0" applyNumberFormat="1" applyFont="1" applyFill="1" applyBorder="1"/>
    <xf numFmtId="0" fontId="17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8" fillId="0" borderId="0" xfId="0" quotePrefix="1" applyNumberFormat="1" applyFont="1"/>
    <xf numFmtId="165" fontId="1" fillId="2" borderId="1" xfId="0" applyNumberFormat="1" applyFont="1" applyFill="1" applyBorder="1"/>
    <xf numFmtId="0" fontId="19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shrinkToFit="1"/>
    </xf>
    <xf numFmtId="0" fontId="22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23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1" fillId="5" borderId="1" xfId="0" applyFont="1" applyFill="1" applyBorder="1" applyAlignment="1">
      <alignment shrinkToFit="1"/>
    </xf>
    <xf numFmtId="165" fontId="1" fillId="0" borderId="1" xfId="0" applyNumberFormat="1" applyFont="1" applyBorder="1" applyAlignment="1">
      <alignment shrinkToFit="1"/>
    </xf>
    <xf numFmtId="0" fontId="1" fillId="7" borderId="1" xfId="0" applyFont="1" applyFill="1" applyBorder="1" applyAlignment="1">
      <alignment shrinkToFit="1"/>
    </xf>
    <xf numFmtId="0" fontId="25" fillId="0" borderId="0" xfId="0" applyFont="1"/>
    <xf numFmtId="0" fontId="3" fillId="0" borderId="1" xfId="0" applyFont="1" applyFill="1" applyBorder="1" applyAlignment="1">
      <alignment shrinkToFit="1"/>
    </xf>
    <xf numFmtId="0" fontId="3" fillId="0" borderId="1" xfId="0" applyFont="1" applyBorder="1" applyAlignment="1">
      <alignment shrinkToFit="1"/>
    </xf>
    <xf numFmtId="165" fontId="3" fillId="0" borderId="1" xfId="0" applyNumberFormat="1" applyFont="1" applyFill="1" applyBorder="1" applyAlignment="1">
      <alignment shrinkToFit="1"/>
    </xf>
    <xf numFmtId="165" fontId="3" fillId="0" borderId="1" xfId="0" applyNumberFormat="1" applyFont="1" applyBorder="1" applyAlignment="1">
      <alignment shrinkToFit="1"/>
    </xf>
    <xf numFmtId="2" fontId="3" fillId="0" borderId="1" xfId="0" applyNumberFormat="1" applyFont="1" applyBorder="1" applyAlignment="1">
      <alignment shrinkToFit="1"/>
    </xf>
    <xf numFmtId="2" fontId="25" fillId="0" borderId="0" xfId="0" applyNumberFormat="1" applyFont="1"/>
    <xf numFmtId="0" fontId="3" fillId="0" borderId="0" xfId="0" applyFont="1" applyFill="1" applyBorder="1"/>
    <xf numFmtId="2" fontId="3" fillId="5" borderId="1" xfId="0" applyNumberFormat="1" applyFont="1" applyFill="1" applyBorder="1"/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2" fontId="3" fillId="9" borderId="1" xfId="0" applyNumberFormat="1" applyFont="1" applyFill="1" applyBorder="1"/>
    <xf numFmtId="0" fontId="26" fillId="0" borderId="1" xfId="0" applyFont="1" applyBorder="1"/>
    <xf numFmtId="0" fontId="26" fillId="0" borderId="0" xfId="0" applyFont="1"/>
    <xf numFmtId="2" fontId="3" fillId="9" borderId="0" xfId="0" applyNumberFormat="1" applyFont="1" applyFill="1"/>
    <xf numFmtId="0" fontId="3" fillId="9" borderId="0" xfId="0" applyFont="1" applyFill="1"/>
    <xf numFmtId="2" fontId="29" fillId="9" borderId="0" xfId="0" applyNumberFormat="1" applyFont="1" applyFill="1"/>
    <xf numFmtId="2" fontId="1" fillId="9" borderId="1" xfId="0" applyNumberFormat="1" applyFont="1" applyFill="1" applyBorder="1"/>
    <xf numFmtId="2" fontId="0" fillId="9" borderId="1" xfId="0" applyNumberFormat="1" applyFill="1" applyBorder="1"/>
    <xf numFmtId="0" fontId="1" fillId="9" borderId="1" xfId="0" applyFont="1" applyFill="1" applyBorder="1"/>
    <xf numFmtId="0" fontId="1" fillId="0" borderId="3" xfId="0" applyFont="1" applyFill="1" applyBorder="1"/>
    <xf numFmtId="0" fontId="0" fillId="0" borderId="1" xfId="0" applyFont="1" applyBorder="1"/>
    <xf numFmtId="0" fontId="0" fillId="0" borderId="0" xfId="0" applyFont="1"/>
    <xf numFmtId="0" fontId="0" fillId="8" borderId="0" xfId="0" applyFont="1" applyFill="1"/>
    <xf numFmtId="2" fontId="0" fillId="8" borderId="0" xfId="0" applyNumberFormat="1" applyFont="1" applyFill="1"/>
    <xf numFmtId="0" fontId="3" fillId="0" borderId="1" xfId="0" applyFont="1" applyBorder="1" applyAlignment="1">
      <alignment horizontal="right"/>
    </xf>
    <xf numFmtId="2" fontId="15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/>
    <xf numFmtId="2" fontId="0" fillId="5" borderId="0" xfId="0" applyNumberFormat="1" applyFill="1"/>
    <xf numFmtId="0" fontId="1" fillId="5" borderId="1" xfId="0" applyFont="1" applyFill="1" applyBorder="1"/>
    <xf numFmtId="2" fontId="1" fillId="5" borderId="1" xfId="0" applyNumberFormat="1" applyFont="1" applyFill="1" applyBorder="1"/>
    <xf numFmtId="0" fontId="0" fillId="5" borderId="0" xfId="0" applyFill="1"/>
    <xf numFmtId="2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shrinkToFit="1"/>
    </xf>
    <xf numFmtId="0" fontId="31" fillId="10" borderId="0" xfId="0" applyFont="1" applyFill="1"/>
    <xf numFmtId="0" fontId="0" fillId="10" borderId="0" xfId="0" applyFill="1"/>
    <xf numFmtId="0" fontId="30" fillId="0" borderId="0" xfId="0" applyFont="1"/>
    <xf numFmtId="0" fontId="32" fillId="11" borderId="1" xfId="0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/>
    </xf>
    <xf numFmtId="0" fontId="34" fillId="11" borderId="2" xfId="0" applyFont="1" applyFill="1" applyBorder="1" applyAlignment="1">
      <alignment horizontal="center"/>
    </xf>
    <xf numFmtId="165" fontId="32" fillId="11" borderId="1" xfId="0" applyNumberFormat="1" applyFont="1" applyFill="1" applyBorder="1" applyAlignment="1">
      <alignment horizontal="center"/>
    </xf>
    <xf numFmtId="2" fontId="32" fillId="11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/>
    <xf numFmtId="0" fontId="32" fillId="12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center"/>
    </xf>
    <xf numFmtId="165" fontId="32" fillId="12" borderId="1" xfId="0" applyNumberFormat="1" applyFont="1" applyFill="1" applyBorder="1" applyAlignment="1">
      <alignment horizontal="center"/>
    </xf>
    <xf numFmtId="2" fontId="32" fillId="12" borderId="5" xfId="0" applyNumberFormat="1" applyFont="1" applyFill="1" applyBorder="1" applyAlignment="1">
      <alignment horizontal="center"/>
    </xf>
    <xf numFmtId="2" fontId="32" fillId="1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3" borderId="1" xfId="0" applyNumberFormat="1" applyFont="1" applyFill="1" applyBorder="1" applyProtection="1">
      <protection locked="0"/>
    </xf>
    <xf numFmtId="0" fontId="24" fillId="0" borderId="0" xfId="0" applyFont="1" applyFill="1" applyBorder="1"/>
    <xf numFmtId="0" fontId="1" fillId="0" borderId="0" xfId="0" applyFont="1" applyFill="1"/>
    <xf numFmtId="2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0" fillId="7" borderId="0" xfId="0" applyFill="1"/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3" borderId="1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</cellXfs>
  <cellStyles count="20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99518810149"/>
          <c:y val="5.5555555555555497E-2"/>
          <c:w val="0.68874081364829398"/>
          <c:h val="0.73783498216569099"/>
        </c:manualLayout>
      </c:layout>
      <c:scatterChart>
        <c:scatterStyle val="lineMarker"/>
        <c:varyColors val="0"/>
        <c:ser>
          <c:idx val="0"/>
          <c:order val="0"/>
          <c:tx>
            <c:v> bu=60mm</c:v>
          </c:tx>
          <c:marker>
            <c:symbol val="none"/>
          </c:marker>
          <c:xVal>
            <c:numRef>
              <c:f>data!$J$51:$J$54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data!$K$51:$K$54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data!$L$51:$L$52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data!$M$51:$M$52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 bu=160mm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data!$J$58:$J$61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data!$K$58:$K$61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ln w="19050">
              <a:solidFill>
                <a:srgbClr val="008000"/>
              </a:solidFill>
              <a:prstDash val="dash"/>
            </a:ln>
          </c:spPr>
          <c:xVal>
            <c:numRef>
              <c:f>data!$L$58:$L$59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data!$M$58:$M$59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0784"/>
        <c:axId val="56711360"/>
      </c:scatterChart>
      <c:valAx>
        <c:axId val="5671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 (kN/m)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6711360"/>
        <c:crosses val="autoZero"/>
        <c:crossBetween val="midCat"/>
      </c:valAx>
      <c:valAx>
        <c:axId val="5671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 (kNm/m)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6710784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8611111111111103"/>
          <c:y val="0.28187394844875202"/>
          <c:w val="0.16875000000000001"/>
          <c:h val="0.1673576115485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30</xdr:row>
      <xdr:rowOff>38100</xdr:rowOff>
    </xdr:from>
    <xdr:to>
      <xdr:col>12</xdr:col>
      <xdr:colOff>736600</xdr:colOff>
      <xdr:row>45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00" y="3136900"/>
          <a:ext cx="6388100" cy="28702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49</xdr:row>
      <xdr:rowOff>38100</xdr:rowOff>
    </xdr:from>
    <xdr:to>
      <xdr:col>14</xdr:col>
      <xdr:colOff>876300</xdr:colOff>
      <xdr:row>63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406400</xdr:colOff>
      <xdr:row>6</xdr:row>
      <xdr:rowOff>76200</xdr:rowOff>
    </xdr:from>
    <xdr:to>
      <xdr:col>14</xdr:col>
      <xdr:colOff>0</xdr:colOff>
      <xdr:row>17</xdr:row>
      <xdr:rowOff>119688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1400" y="1117600"/>
          <a:ext cx="2895600" cy="2164388"/>
        </a:xfrm>
        <a:prstGeom prst="rect">
          <a:avLst/>
        </a:prstGeom>
      </xdr:spPr>
    </xdr:pic>
    <xdr:clientData/>
  </xdr:twoCellAnchor>
  <xdr:twoCellAnchor editAs="oneCell">
    <xdr:from>
      <xdr:col>5</xdr:col>
      <xdr:colOff>546100</xdr:colOff>
      <xdr:row>6</xdr:row>
      <xdr:rowOff>165100</xdr:rowOff>
    </xdr:from>
    <xdr:to>
      <xdr:col>9</xdr:col>
      <xdr:colOff>800100</xdr:colOff>
      <xdr:row>27</xdr:row>
      <xdr:rowOff>3746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73600" y="1206500"/>
          <a:ext cx="3556000" cy="386454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D9" sqref="D9"/>
    </sheetView>
  </sheetViews>
  <sheetFormatPr baseColWidth="10" defaultRowHeight="15.75" x14ac:dyDescent="0.25"/>
  <cols>
    <col min="15" max="15" width="45.375" customWidth="1"/>
  </cols>
  <sheetData>
    <row r="1" spans="1:19" s="133" customFormat="1" ht="21" x14ac:dyDescent="0.35">
      <c r="A1" s="132" t="s">
        <v>135</v>
      </c>
    </row>
    <row r="3" spans="1:19" x14ac:dyDescent="0.25">
      <c r="B3" s="69" t="s">
        <v>136</v>
      </c>
    </row>
    <row r="4" spans="1:19" x14ac:dyDescent="0.25">
      <c r="B4" s="69"/>
    </row>
    <row r="5" spans="1:19" ht="16.5" x14ac:dyDescent="0.3">
      <c r="B5" s="7" t="s">
        <v>147</v>
      </c>
      <c r="C5" s="7" t="s">
        <v>148</v>
      </c>
      <c r="D5" s="7" t="s">
        <v>149</v>
      </c>
      <c r="E5" s="7" t="s">
        <v>150</v>
      </c>
      <c r="F5" s="152" t="s">
        <v>169</v>
      </c>
      <c r="G5" s="1" t="s">
        <v>170</v>
      </c>
      <c r="H5" s="7" t="s">
        <v>151</v>
      </c>
      <c r="I5" s="7" t="s">
        <v>152</v>
      </c>
      <c r="J5" s="1" t="s">
        <v>2</v>
      </c>
      <c r="K5" s="1" t="s">
        <v>3</v>
      </c>
      <c r="L5" s="147" t="s">
        <v>153</v>
      </c>
      <c r="M5" s="1" t="s">
        <v>154</v>
      </c>
      <c r="N5" s="7" t="s">
        <v>155</v>
      </c>
      <c r="O5" s="150" t="s">
        <v>156</v>
      </c>
      <c r="P5" s="149" t="s">
        <v>5</v>
      </c>
      <c r="Q5" s="149" t="s">
        <v>100</v>
      </c>
      <c r="R5" s="149" t="s">
        <v>6</v>
      </c>
      <c r="S5" s="25"/>
    </row>
    <row r="6" spans="1:19" x14ac:dyDescent="0.25">
      <c r="B6" s="156"/>
      <c r="C6" s="156"/>
      <c r="D6" s="156"/>
      <c r="E6" s="156"/>
      <c r="F6" s="157"/>
      <c r="G6" s="157"/>
      <c r="H6" s="157"/>
      <c r="I6" s="156"/>
      <c r="J6" s="159"/>
      <c r="K6" s="148"/>
      <c r="L6" s="158"/>
      <c r="M6" s="158"/>
      <c r="N6" s="156"/>
      <c r="O6" s="109"/>
      <c r="P6" s="149" t="e">
        <f>ATAN(D14/E14)</f>
        <v>#DIV/0!</v>
      </c>
      <c r="Q6" s="149" t="e">
        <f>ATAN(D12/E12)</f>
        <v>#DIV/0!</v>
      </c>
      <c r="R6" s="149" t="e">
        <f>ATAN(D11/E11)</f>
        <v>#DIV/0!</v>
      </c>
      <c r="S6" s="25"/>
    </row>
    <row r="7" spans="1:19" x14ac:dyDescent="0.25">
      <c r="B7" s="34"/>
      <c r="C7" s="34"/>
      <c r="D7" s="34"/>
      <c r="E7" s="34"/>
      <c r="F7" s="34"/>
      <c r="G7" s="34"/>
      <c r="H7" s="34"/>
      <c r="I7" s="34"/>
      <c r="J7" s="34"/>
      <c r="K7" s="5"/>
      <c r="L7" s="6"/>
    </row>
    <row r="8" spans="1:19" ht="18.75" x14ac:dyDescent="0.35">
      <c r="B8" s="2" t="s">
        <v>4</v>
      </c>
      <c r="C8" s="2" t="s">
        <v>165</v>
      </c>
      <c r="D8" s="33" t="s">
        <v>166</v>
      </c>
      <c r="E8" s="33" t="s">
        <v>167</v>
      </c>
      <c r="F8" s="34"/>
      <c r="G8" s="34"/>
      <c r="I8" s="34"/>
      <c r="J8" s="34"/>
      <c r="K8" s="34"/>
      <c r="L8" s="34"/>
    </row>
    <row r="9" spans="1:19" x14ac:dyDescent="0.25">
      <c r="B9" s="2">
        <v>1</v>
      </c>
      <c r="C9" s="4">
        <f t="shared" ref="C9:C15" si="0">(D9^2+E9^2)^0.5</f>
        <v>0</v>
      </c>
      <c r="D9" s="157"/>
      <c r="E9" s="157"/>
      <c r="F9" s="34"/>
      <c r="G9" s="34"/>
      <c r="I9" s="34"/>
      <c r="J9" s="34"/>
      <c r="K9" s="34"/>
      <c r="L9" s="34"/>
    </row>
    <row r="10" spans="1:19" x14ac:dyDescent="0.25">
      <c r="B10" s="2">
        <v>2</v>
      </c>
      <c r="C10" s="4">
        <f t="shared" si="0"/>
        <v>0</v>
      </c>
      <c r="D10" s="151"/>
      <c r="E10" s="151"/>
      <c r="F10" s="34"/>
      <c r="G10" s="34"/>
      <c r="H10" s="34"/>
      <c r="I10" s="34"/>
      <c r="J10" s="34"/>
      <c r="K10" s="34"/>
      <c r="L10" s="34"/>
    </row>
    <row r="11" spans="1:19" x14ac:dyDescent="0.25">
      <c r="B11" s="2">
        <v>3</v>
      </c>
      <c r="C11" s="4">
        <f t="shared" si="0"/>
        <v>0</v>
      </c>
      <c r="D11" s="151"/>
      <c r="E11" s="151"/>
      <c r="F11" s="34"/>
      <c r="G11" s="34"/>
      <c r="H11" s="34"/>
      <c r="I11" s="34"/>
      <c r="J11" s="34"/>
      <c r="K11" s="34"/>
      <c r="L11" s="34"/>
    </row>
    <row r="12" spans="1:19" x14ac:dyDescent="0.25">
      <c r="B12" s="2">
        <v>4</v>
      </c>
      <c r="C12" s="4">
        <f t="shared" si="0"/>
        <v>0</v>
      </c>
      <c r="D12" s="151"/>
      <c r="E12" s="151"/>
      <c r="F12" s="34"/>
      <c r="G12" s="34"/>
      <c r="H12" s="34"/>
      <c r="I12" s="34"/>
      <c r="J12" s="34"/>
      <c r="K12" s="34"/>
      <c r="L12" s="34"/>
    </row>
    <row r="13" spans="1:19" x14ac:dyDescent="0.25">
      <c r="B13" s="2">
        <v>5</v>
      </c>
      <c r="C13" s="4">
        <f t="shared" si="0"/>
        <v>0</v>
      </c>
      <c r="D13" s="151"/>
      <c r="E13" s="151"/>
      <c r="F13" s="34"/>
      <c r="G13" s="34"/>
      <c r="H13" s="34"/>
      <c r="I13" s="34"/>
      <c r="J13" s="34"/>
      <c r="K13" s="34"/>
      <c r="L13" s="34"/>
    </row>
    <row r="14" spans="1:19" x14ac:dyDescent="0.25">
      <c r="B14" s="2">
        <v>6</v>
      </c>
      <c r="C14" s="4">
        <f t="shared" si="0"/>
        <v>0</v>
      </c>
      <c r="D14" s="151"/>
      <c r="E14" s="151"/>
      <c r="F14" s="34"/>
      <c r="G14" s="34"/>
      <c r="H14" s="34"/>
      <c r="I14" s="34"/>
      <c r="J14" s="34"/>
      <c r="K14" s="34"/>
      <c r="L14" s="34"/>
    </row>
    <row r="15" spans="1:19" x14ac:dyDescent="0.25">
      <c r="B15" s="70">
        <v>7</v>
      </c>
      <c r="C15" s="4">
        <f t="shared" si="0"/>
        <v>0</v>
      </c>
      <c r="D15" s="151"/>
      <c r="E15" s="151"/>
      <c r="F15" s="34"/>
      <c r="G15" s="34"/>
      <c r="H15" s="34"/>
      <c r="I15" s="34"/>
      <c r="J15" s="34"/>
      <c r="K15" s="34"/>
      <c r="L15" s="34"/>
    </row>
    <row r="16" spans="1:19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2:12" x14ac:dyDescent="0.2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2:12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9" spans="2:12" x14ac:dyDescent="0.25">
      <c r="B29" s="69" t="s">
        <v>137</v>
      </c>
    </row>
    <row r="32" spans="2:12" x14ac:dyDescent="0.25">
      <c r="C32" s="71" t="s">
        <v>68</v>
      </c>
      <c r="D32" s="72" t="e">
        <f>2*(E9+E10+E11)/(F6)</f>
        <v>#DIV/0!</v>
      </c>
    </row>
    <row r="33" spans="2:4" ht="16.5" x14ac:dyDescent="0.25">
      <c r="C33" s="61" t="s">
        <v>71</v>
      </c>
      <c r="D33" s="72" t="e">
        <f>Q6*180/PI()</f>
        <v>#DIV/0!</v>
      </c>
    </row>
    <row r="34" spans="2:4" x14ac:dyDescent="0.25">
      <c r="C34" s="73" t="s">
        <v>69</v>
      </c>
      <c r="D34" s="72" t="e">
        <f>I6/(F6)</f>
        <v>#DIV/0!</v>
      </c>
    </row>
    <row r="35" spans="2:4" x14ac:dyDescent="0.25">
      <c r="C35" s="71" t="s">
        <v>70</v>
      </c>
      <c r="D35" s="72" t="e">
        <f>500*SIN(Q6)</f>
        <v>#DIV/0!</v>
      </c>
    </row>
    <row r="36" spans="2:4" ht="18.75" x14ac:dyDescent="0.25">
      <c r="B36" s="75" t="s">
        <v>72</v>
      </c>
      <c r="C36" s="74" t="s">
        <v>73</v>
      </c>
      <c r="D36" s="72" t="e">
        <f>0.04*(F6)*K6/J6</f>
        <v>#DIV/0!</v>
      </c>
    </row>
    <row r="47" spans="2:4" x14ac:dyDescent="0.25">
      <c r="B47" s="69" t="s">
        <v>168</v>
      </c>
    </row>
    <row r="49" spans="2:13" x14ac:dyDescent="0.25">
      <c r="B49" s="134" t="s">
        <v>138</v>
      </c>
    </row>
    <row r="51" spans="2:13" ht="20.25" x14ac:dyDescent="0.25">
      <c r="B51" s="135" t="s">
        <v>139</v>
      </c>
      <c r="C51" s="135" t="s">
        <v>140</v>
      </c>
      <c r="D51" s="135" t="s">
        <v>141</v>
      </c>
      <c r="E51" s="135" t="s">
        <v>142</v>
      </c>
      <c r="F51" s="135" t="s">
        <v>143</v>
      </c>
      <c r="G51" s="135" t="s">
        <v>144</v>
      </c>
      <c r="J51">
        <v>0</v>
      </c>
      <c r="K51" s="28" t="e">
        <f>B53</f>
        <v>#DIV/0!</v>
      </c>
      <c r="L51">
        <f>J51</f>
        <v>0</v>
      </c>
      <c r="M51" s="28" t="e">
        <f>F53</f>
        <v>#DIV/0!</v>
      </c>
    </row>
    <row r="52" spans="2:13" ht="18.75" x14ac:dyDescent="0.3">
      <c r="B52" s="136" t="s">
        <v>67</v>
      </c>
      <c r="C52" s="137" t="s">
        <v>145</v>
      </c>
      <c r="D52" s="137" t="s">
        <v>67</v>
      </c>
      <c r="E52" s="137" t="s">
        <v>145</v>
      </c>
      <c r="F52" s="137" t="s">
        <v>67</v>
      </c>
      <c r="G52" s="137" t="s">
        <v>145</v>
      </c>
      <c r="J52" s="28" t="e">
        <f>E53</f>
        <v>#DIV/0!</v>
      </c>
      <c r="K52" s="28" t="e">
        <f>B53</f>
        <v>#DIV/0!</v>
      </c>
      <c r="L52" s="28" t="e">
        <f>G53</f>
        <v>#DIV/0!</v>
      </c>
      <c r="M52">
        <v>0</v>
      </c>
    </row>
    <row r="53" spans="2:13" ht="18.75" x14ac:dyDescent="0.3">
      <c r="B53" s="138" t="e">
        <f>'moment (3)'!B35</f>
        <v>#DIV/0!</v>
      </c>
      <c r="C53" s="139" t="e">
        <f>Feuil1!K14</f>
        <v>#DIV/0!</v>
      </c>
      <c r="D53" s="138" t="e">
        <f>0.25*B53</f>
        <v>#DIV/0!</v>
      </c>
      <c r="E53" s="139" t="e">
        <f>0.25*C53</f>
        <v>#DIV/0!</v>
      </c>
      <c r="F53" s="138" t="e">
        <f>(C53*B53-E53*D53)/(C53-E53)</f>
        <v>#DIV/0!</v>
      </c>
      <c r="G53" s="139" t="e">
        <f>(C53*B53-E53*D53)/(B53-D53)</f>
        <v>#DIV/0!</v>
      </c>
      <c r="J53" s="28" t="e">
        <f>C53</f>
        <v>#DIV/0!</v>
      </c>
      <c r="K53" s="28" t="e">
        <f>D53</f>
        <v>#DIV/0!</v>
      </c>
    </row>
    <row r="54" spans="2:13" x14ac:dyDescent="0.25">
      <c r="J54" s="28" t="e">
        <f>C53</f>
        <v>#DIV/0!</v>
      </c>
      <c r="K54">
        <v>0</v>
      </c>
    </row>
    <row r="55" spans="2:13" ht="18.75" x14ac:dyDescent="0.3">
      <c r="D55" s="140"/>
    </row>
    <row r="56" spans="2:13" x14ac:dyDescent="0.25">
      <c r="B56" s="134" t="s">
        <v>146</v>
      </c>
    </row>
    <row r="58" spans="2:13" ht="20.25" x14ac:dyDescent="0.25">
      <c r="B58" s="141" t="s">
        <v>139</v>
      </c>
      <c r="C58" s="141" t="s">
        <v>140</v>
      </c>
      <c r="D58" s="141" t="s">
        <v>141</v>
      </c>
      <c r="E58" s="141" t="s">
        <v>142</v>
      </c>
      <c r="F58" s="141" t="s">
        <v>143</v>
      </c>
      <c r="G58" s="141" t="s">
        <v>144</v>
      </c>
      <c r="J58">
        <v>0</v>
      </c>
      <c r="K58" s="28" t="e">
        <f>B60</f>
        <v>#DIV/0!</v>
      </c>
      <c r="L58">
        <f>J58</f>
        <v>0</v>
      </c>
      <c r="M58" s="28" t="e">
        <f>F60</f>
        <v>#DIV/0!</v>
      </c>
    </row>
    <row r="59" spans="2:13" ht="18.75" x14ac:dyDescent="0.3">
      <c r="B59" s="142" t="s">
        <v>67</v>
      </c>
      <c r="C59" s="143" t="s">
        <v>145</v>
      </c>
      <c r="D59" s="143" t="s">
        <v>67</v>
      </c>
      <c r="E59" s="143" t="s">
        <v>145</v>
      </c>
      <c r="F59" s="143" t="s">
        <v>67</v>
      </c>
      <c r="G59" s="143" t="s">
        <v>145</v>
      </c>
      <c r="J59" s="28" t="e">
        <f>E60</f>
        <v>#DIV/0!</v>
      </c>
      <c r="K59" s="28" t="e">
        <f>B60</f>
        <v>#DIV/0!</v>
      </c>
      <c r="L59" s="28" t="e">
        <f>G60</f>
        <v>#DIV/0!</v>
      </c>
      <c r="M59">
        <v>0</v>
      </c>
    </row>
    <row r="60" spans="2:13" ht="18.75" x14ac:dyDescent="0.3">
      <c r="B60" s="144" t="e">
        <f>B53</f>
        <v>#DIV/0!</v>
      </c>
      <c r="C60" s="145" t="e">
        <f>Feuil1!K13</f>
        <v>#DIV/0!</v>
      </c>
      <c r="D60" s="144" t="e">
        <f>0.25*B60</f>
        <v>#DIV/0!</v>
      </c>
      <c r="E60" s="146" t="e">
        <f>0.25*C60</f>
        <v>#DIV/0!</v>
      </c>
      <c r="F60" s="144" t="e">
        <f>(C60*B60-E60*D60)/(C60-E60)</f>
        <v>#DIV/0!</v>
      </c>
      <c r="G60" s="146" t="e">
        <f>(C60*B60-E60*D60)/(B60-D60)</f>
        <v>#DIV/0!</v>
      </c>
      <c r="J60" s="28" t="e">
        <f>C60</f>
        <v>#DIV/0!</v>
      </c>
      <c r="K60" s="28" t="e">
        <f>D60</f>
        <v>#DIV/0!</v>
      </c>
    </row>
    <row r="61" spans="2:13" x14ac:dyDescent="0.25">
      <c r="J61" s="28" t="e">
        <f>C60</f>
        <v>#DIV/0!</v>
      </c>
      <c r="K61">
        <v>0</v>
      </c>
    </row>
  </sheetData>
  <sheetProtection password="DDF1" sheet="1" objects="1" scenarios="1" select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0" workbookViewId="0">
      <selection activeCell="C47" sqref="C47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 t="e">
        <f>web!B3</f>
        <v>#DIV/0!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2'!K3-'moment (2)'!H27)/'moment (2)'!H27)</f>
        <v>#DIV/0!</v>
      </c>
      <c r="G3" s="24" t="e">
        <f>'data 2'!K3-'moment (2)'!H27</f>
        <v>#DIV/0!</v>
      </c>
      <c r="H3" s="102" t="e">
        <f>G3/SIN('data 2'!C3)-'data 2'!F16</f>
        <v>#DIV/0!</v>
      </c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B10/SIN(data!Q6)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((G3-B10-B13)/SIN(data!Q6))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SIN(data!Q6-'web (3)'!F20)*(data!C10+data!C12)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11" sqref="J11"/>
    </sheetView>
  </sheetViews>
  <sheetFormatPr baseColWidth="10" defaultRowHeight="15.75" x14ac:dyDescent="0.25"/>
  <sheetData>
    <row r="2" spans="1:11" ht="16.5" x14ac:dyDescent="0.3">
      <c r="A2" s="127" t="s">
        <v>1</v>
      </c>
      <c r="B2" s="121" t="s">
        <v>1</v>
      </c>
      <c r="C2" s="1" t="s">
        <v>3</v>
      </c>
      <c r="D2" s="1" t="s">
        <v>2</v>
      </c>
    </row>
    <row r="3" spans="1:11" x14ac:dyDescent="0.25">
      <c r="A3" s="127">
        <f>data!$F$6</f>
        <v>0</v>
      </c>
      <c r="B3" s="121" t="e">
        <f>web!B3</f>
        <v>#DIV/0!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'web (3)'!C36</f>
        <v>#DIV/0!</v>
      </c>
      <c r="D9" s="68">
        <f>A$3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 t="e">
        <f>'data 2'!M28</f>
        <v>#DIV/0!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'web (3)'!C37</f>
        <v>#DIV/0!</v>
      </c>
      <c r="D10" s="119" t="e">
        <f t="shared" ref="D10:D20" si="1">B$3</f>
        <v>#DIV/0!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'web (3)'!C38</f>
        <v>#DIV/0!</v>
      </c>
      <c r="D11" s="119" t="e">
        <f t="shared" si="1"/>
        <v>#DIV/0!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'web (3)'!C39</f>
        <v>#DIV/0!</v>
      </c>
      <c r="D12" s="119" t="e">
        <f>B$3*'web (3)'!D$32</f>
        <v>#DIV/0!</v>
      </c>
      <c r="E12" s="63" t="e">
        <f>IF('web (3)'!H$32&lt;1,C12*D12*'web (3)'!G$32,C12*B$3)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'web (3)'!C40</f>
        <v>#DIV/0!</v>
      </c>
      <c r="D13" s="119" t="e">
        <f>B$3</f>
        <v>#DIV/0!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'web (3)'!C41</f>
        <v>#DIV/0!</v>
      </c>
      <c r="D14" s="119" t="e">
        <f>B$3*'web (3)'!D$32</f>
        <v>#DIV/0!</v>
      </c>
      <c r="E14" s="63" t="e">
        <f>IF('web (3)'!H$32&lt;1,C14*D14*'web (3)'!G$32,C14*B$3)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'web (3)'!C42</f>
        <v>#DIV/0!</v>
      </c>
      <c r="D15" s="119" t="e">
        <f>B$3*'web (3)'!D$32</f>
        <v>#DIV/0!</v>
      </c>
      <c r="E15" s="63" t="e">
        <f>IF('web (3)'!H$32&lt;1,C15*D15*'web (3)'!G$32,C15*B$3)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'web (3)'!C43</f>
        <v>#DIV/0!</v>
      </c>
      <c r="D16" s="119" t="e">
        <f>B$3*'web (3)'!D$32</f>
        <v>#DIV/0!</v>
      </c>
      <c r="E16" s="63" t="e">
        <f>IF('web (3)'!H$32&lt;1,C16*D16*'web (3)'!G$32,C16*B$3)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'web (3)'!C44</f>
        <v>#DIV/0!</v>
      </c>
      <c r="D17" s="119" t="e">
        <f>B$3*'web (3)'!D$32</f>
        <v>#DIV/0!</v>
      </c>
      <c r="E17" s="63" t="e">
        <f>IF('web (3)'!H$32&lt;1,C17*D17*'web (3)'!G$32,C17*B$3)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'web (3)'!C45</f>
        <v>#DIV/0!</v>
      </c>
      <c r="D18" s="119" t="e">
        <f t="shared" si="1"/>
        <v>#DIV/0!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'web (3)'!C46</f>
        <v>#DIV/0!</v>
      </c>
      <c r="D19" s="119" t="e">
        <f t="shared" si="1"/>
        <v>#DIV/0!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'web (3)'!C47</f>
        <v>#DIV/0!</v>
      </c>
      <c r="D20" s="119" t="e">
        <f t="shared" si="1"/>
        <v>#DIV/0!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27">
        <f>web!B48</f>
        <v>8</v>
      </c>
      <c r="C21" s="128" t="e">
        <f>'web (3)'!C48</f>
        <v>#DIV/0!</v>
      </c>
      <c r="D21" s="119" t="e">
        <f>B$3</f>
        <v>#DIV/0!</v>
      </c>
      <c r="E21" s="129" t="e">
        <f t="shared" si="5"/>
        <v>#DIV/0!</v>
      </c>
      <c r="F21" s="32" t="e">
        <f>'data 2'!J35</f>
        <v>#DIV/0!</v>
      </c>
      <c r="G21" s="7" t="e">
        <f>E21*F24</f>
        <v>#DIV/0!</v>
      </c>
      <c r="H21" s="31" t="e">
        <f>$H$27-F24</f>
        <v>#DIV/0!</v>
      </c>
      <c r="I21" s="129"/>
      <c r="J21" s="42" t="e">
        <f>D21*'data 2'!G$3^3*(('data 2'!C$3+SIN('data 2'!C$3)*COS('data 2'!C$3))/2-SIN('data 2'!C$3)^2/'data 2'!C$3)+E21*H21^2</f>
        <v>#DIV/0!</v>
      </c>
    </row>
    <row r="22" spans="1:11" x14ac:dyDescent="0.25">
      <c r="B22" s="27">
        <f>web!B49</f>
        <v>9</v>
      </c>
      <c r="C22" s="128" t="e">
        <f>'web (3)'!C49</f>
        <v>#DIV/0!</v>
      </c>
      <c r="D22" s="129">
        <f t="shared" ref="D22:D26" si="6">A$3</f>
        <v>0</v>
      </c>
      <c r="E22" s="129" t="e">
        <f t="shared" si="5"/>
        <v>#DIV/0!</v>
      </c>
      <c r="F22" s="32">
        <f>'data 2'!J36</f>
        <v>0</v>
      </c>
      <c r="G22" s="7" t="e">
        <f>E22*F25</f>
        <v>#DIV/0!</v>
      </c>
      <c r="H22" s="31" t="e">
        <f>$H$27-F25</f>
        <v>#DIV/0!</v>
      </c>
      <c r="I22" s="129">
        <f>'data 2'!M36</f>
        <v>0</v>
      </c>
      <c r="J22" s="130" t="e">
        <f t="shared" si="4"/>
        <v>#DIV/0!</v>
      </c>
    </row>
    <row r="23" spans="1:11" x14ac:dyDescent="0.25">
      <c r="B23" s="27">
        <f>web!B50</f>
        <v>10</v>
      </c>
      <c r="C23" s="128" t="e">
        <f>'web (3)'!C50</f>
        <v>#DIV/0!</v>
      </c>
      <c r="D23" s="129">
        <f t="shared" si="6"/>
        <v>0</v>
      </c>
      <c r="E23" s="129" t="e">
        <f t="shared" si="5"/>
        <v>#DIV/0!</v>
      </c>
      <c r="F23" s="32" t="e">
        <f>'data 2'!J37</f>
        <v>#DIV/0!</v>
      </c>
      <c r="G23" s="7" t="e">
        <f t="shared" ref="G23:G26" si="7">E23*F26</f>
        <v>#DIV/0!</v>
      </c>
      <c r="H23" s="31" t="e">
        <f>$H$27-F26</f>
        <v>#DIV/0!</v>
      </c>
      <c r="I23" s="129"/>
      <c r="J23" s="42" t="e">
        <f>D23*'data 2'!E$3^3*(('data 2'!B$3+SIN('data 2'!B$3)*COS('data 2'!B$3))/2-SIN('data 2'!B$3)^2/'data 2'!B$3)+E23*H23^2</f>
        <v>#DIV/0!</v>
      </c>
    </row>
    <row r="24" spans="1:11" x14ac:dyDescent="0.25">
      <c r="B24" s="27">
        <f>web!B51</f>
        <v>11</v>
      </c>
      <c r="C24" s="128" t="e">
        <f>'web (3)'!C51</f>
        <v>#DIV/0!</v>
      </c>
      <c r="D24" s="129">
        <f t="shared" si="6"/>
        <v>0</v>
      </c>
      <c r="E24" s="129" t="e">
        <f t="shared" si="5"/>
        <v>#DIV/0!</v>
      </c>
      <c r="F24" s="31">
        <f>'data 2'!J38</f>
        <v>0</v>
      </c>
      <c r="G24" s="7" t="e">
        <f t="shared" si="7"/>
        <v>#DIV/0!</v>
      </c>
      <c r="H24" s="31" t="e">
        <f t="shared" ref="H24:H26" si="8">$H$27-F27</f>
        <v>#DIV/0!</v>
      </c>
      <c r="I24" s="129" t="e">
        <f>'data 2'!M38</f>
        <v>#DIV/0!</v>
      </c>
      <c r="J24" s="130" t="e">
        <f t="shared" si="4"/>
        <v>#DIV/0!</v>
      </c>
    </row>
    <row r="25" spans="1:11" x14ac:dyDescent="0.25">
      <c r="B25" s="27">
        <f>web!B52</f>
        <v>12</v>
      </c>
      <c r="C25" s="128" t="e">
        <f>'web (3)'!C52</f>
        <v>#DIV/0!</v>
      </c>
      <c r="D25" s="129">
        <f t="shared" si="6"/>
        <v>0</v>
      </c>
      <c r="E25" s="129" t="e">
        <f t="shared" si="5"/>
        <v>#DIV/0!</v>
      </c>
      <c r="F25" s="31" t="e">
        <f>'data 2'!J39</f>
        <v>#DIV/0!</v>
      </c>
      <c r="G25" s="7" t="e">
        <f t="shared" si="7"/>
        <v>#DIV/0!</v>
      </c>
      <c r="H25" s="31" t="e">
        <f t="shared" si="8"/>
        <v>#DIV/0!</v>
      </c>
      <c r="I25" s="129"/>
      <c r="J25" s="42" t="e">
        <f>D25*'data 2'!E$3^3*(('data 2'!B$3+SIN('data 2'!B$3)*COS('data 2'!B$3))/2-SIN('data 2'!B$3)^2/'data 2'!B$3)+E25*H25^2</f>
        <v>#DIV/0!</v>
      </c>
    </row>
    <row r="26" spans="1:11" x14ac:dyDescent="0.25">
      <c r="B26" s="27">
        <f>web!B53</f>
        <v>13</v>
      </c>
      <c r="C26" s="128" t="e">
        <f>'web (3)'!C53</f>
        <v>#DIV/0!</v>
      </c>
      <c r="D26" s="129">
        <f t="shared" si="6"/>
        <v>0</v>
      </c>
      <c r="E26" s="129" t="e">
        <f t="shared" si="5"/>
        <v>#DIV/0!</v>
      </c>
      <c r="F26" s="31">
        <f>'data 2'!J40</f>
        <v>0</v>
      </c>
      <c r="G26" s="7" t="e">
        <f t="shared" si="7"/>
        <v>#DIV/0!</v>
      </c>
      <c r="H26" s="31" t="e">
        <f t="shared" si="8"/>
        <v>#DIV/0!</v>
      </c>
      <c r="I26" s="129">
        <f>'data 2'!M40</f>
        <v>0</v>
      </c>
      <c r="J26" s="130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data!I6-'moment (3)'!H27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K3" sqref="K3"/>
    </sheetView>
  </sheetViews>
  <sheetFormatPr baseColWidth="10" defaultRowHeight="15.75" x14ac:dyDescent="0.25"/>
  <sheetData>
    <row r="2" spans="1:11" ht="16.5" x14ac:dyDescent="0.3">
      <c r="B2" s="76" t="s">
        <v>99</v>
      </c>
      <c r="C2" s="76" t="s">
        <v>74</v>
      </c>
      <c r="D2" s="76" t="s">
        <v>0</v>
      </c>
      <c r="E2" s="76" t="s">
        <v>1</v>
      </c>
      <c r="F2" s="76" t="s">
        <v>2</v>
      </c>
      <c r="G2" s="76" t="s">
        <v>3</v>
      </c>
      <c r="H2" s="76" t="s">
        <v>75</v>
      </c>
      <c r="I2" s="76" t="s">
        <v>49</v>
      </c>
      <c r="J2" s="77" t="s">
        <v>76</v>
      </c>
      <c r="K2" s="131" t="s">
        <v>134</v>
      </c>
    </row>
    <row r="3" spans="1:11" x14ac:dyDescent="0.25">
      <c r="B3" s="76">
        <f>2*('data 2'!C11+'data 2'!C10)</f>
        <v>0</v>
      </c>
      <c r="C3" s="78" t="e">
        <f>data!Q6*180/PI()</f>
        <v>#DIV/0!</v>
      </c>
      <c r="D3" s="78"/>
      <c r="E3" s="79" t="e">
        <f>data!F6*(1-3^0.5/2*(data!M6/data!L6)^2*K3/'data 2'!N3)^1.5</f>
        <v>#DIV/0!</v>
      </c>
      <c r="F3" s="79">
        <f>data!J6</f>
        <v>0</v>
      </c>
      <c r="G3" s="78">
        <v>210000</v>
      </c>
      <c r="H3" s="78">
        <f>data!D6</f>
        <v>0</v>
      </c>
      <c r="I3" s="78">
        <f>data!I6</f>
        <v>0</v>
      </c>
      <c r="J3" s="78" t="e">
        <f>ATAN(I3/(data!E12+data!E11+data!E10))*180/PI()</f>
        <v>#DIV/0!</v>
      </c>
      <c r="K3">
        <f>data!N6</f>
        <v>0</v>
      </c>
    </row>
    <row r="4" spans="1:11" x14ac:dyDescent="0.25">
      <c r="A4" s="80"/>
      <c r="B4" s="80"/>
      <c r="C4" s="80"/>
      <c r="D4" s="80"/>
      <c r="E4" s="80" t="s">
        <v>77</v>
      </c>
      <c r="F4" s="80"/>
      <c r="G4" s="80"/>
      <c r="H4" s="80"/>
      <c r="I4" s="80"/>
      <c r="J4" s="80"/>
      <c r="K4" s="9"/>
    </row>
    <row r="5" spans="1:1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9"/>
    </row>
    <row r="6" spans="1:11" ht="16.5" x14ac:dyDescent="0.3">
      <c r="B6" s="78" t="s">
        <v>78</v>
      </c>
      <c r="C6" s="81" t="s">
        <v>79</v>
      </c>
      <c r="D6" s="78" t="s">
        <v>80</v>
      </c>
      <c r="E6" s="82" t="s">
        <v>81</v>
      </c>
      <c r="F6" s="80" t="s">
        <v>82</v>
      </c>
      <c r="G6" s="80"/>
      <c r="H6" s="80"/>
      <c r="I6" s="80"/>
      <c r="J6" s="80"/>
      <c r="K6" s="9"/>
    </row>
    <row r="7" spans="1:11" x14ac:dyDescent="0.25">
      <c r="B7" s="78" t="e">
        <f>H3/E3</f>
        <v>#DIV/0!</v>
      </c>
      <c r="C7" s="78" t="e">
        <f>I3/E3</f>
        <v>#DIV/0!</v>
      </c>
      <c r="D7" s="78" t="e">
        <f>200*SIN(J3*PI()/180)</f>
        <v>#DIV/0!</v>
      </c>
      <c r="E7" s="80">
        <v>40</v>
      </c>
      <c r="F7" s="80">
        <f>1.5*I3</f>
        <v>0</v>
      </c>
      <c r="G7" s="80"/>
      <c r="H7" s="80"/>
      <c r="I7" s="80"/>
      <c r="J7" s="80"/>
      <c r="K7" s="9"/>
    </row>
    <row r="8" spans="1:1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9"/>
    </row>
    <row r="9" spans="1:11" x14ac:dyDescent="0.25">
      <c r="A9" s="80"/>
      <c r="B9" s="83"/>
      <c r="C9" s="83"/>
      <c r="D9" s="83"/>
      <c r="E9" s="80"/>
      <c r="F9" s="80"/>
      <c r="G9" s="80"/>
      <c r="H9" s="80"/>
      <c r="I9" s="80"/>
      <c r="J9" s="80"/>
      <c r="K9" s="9"/>
    </row>
    <row r="10" spans="1:11" x14ac:dyDescent="0.25">
      <c r="A10" s="80"/>
      <c r="B10" s="80"/>
      <c r="C10" s="80"/>
      <c r="D10" s="80"/>
      <c r="E10" s="80"/>
      <c r="F10" s="80"/>
      <c r="G10" s="80"/>
      <c r="H10" s="80"/>
      <c r="I10" s="84" t="s">
        <v>83</v>
      </c>
      <c r="J10" s="80"/>
      <c r="K10" s="9"/>
    </row>
    <row r="11" spans="1:11" ht="16.5" x14ac:dyDescent="0.3">
      <c r="A11" s="80"/>
      <c r="B11" s="76" t="s">
        <v>84</v>
      </c>
      <c r="C11" s="85" t="s">
        <v>85</v>
      </c>
      <c r="D11" s="76" t="s">
        <v>86</v>
      </c>
      <c r="E11" s="76" t="s">
        <v>87</v>
      </c>
      <c r="F11" s="90" t="s">
        <v>95</v>
      </c>
      <c r="G11" s="90" t="s">
        <v>96</v>
      </c>
      <c r="H11" s="91" t="s">
        <v>97</v>
      </c>
      <c r="I11" s="91" t="s">
        <v>98</v>
      </c>
      <c r="J11" s="76" t="s">
        <v>88</v>
      </c>
      <c r="K11" s="76" t="s">
        <v>89</v>
      </c>
    </row>
    <row r="12" spans="1:11" x14ac:dyDescent="0.25">
      <c r="A12" s="76" t="s">
        <v>90</v>
      </c>
      <c r="B12" s="86">
        <v>10</v>
      </c>
      <c r="C12" s="76">
        <v>7.4999999999999997E-2</v>
      </c>
      <c r="D12" s="76">
        <v>1</v>
      </c>
      <c r="E12" s="87" t="e">
        <f>C12*$E$3^2*($F$3*$G$3)^0.5*(1-0.1*$B$7^0.5)*(0.5+(0.02*B12/$E$3)^0.5)*(2.4+($J$3/90)^2)/D12</f>
        <v>#DIV/0!</v>
      </c>
      <c r="F12" s="92" t="e">
        <f>SIN(($C$3-$J$3)*PI()/180)*data!$C$11</f>
        <v>#DIV/0!</v>
      </c>
      <c r="G12" s="92" t="e">
        <f>SIN(($C$3-$J$3)*PI()/180)*data!C$14</f>
        <v>#DIV/0!</v>
      </c>
      <c r="H12" s="93" t="e">
        <f>1.45-0.05*MAX(F12,G12)/$E$3</f>
        <v>#DIV/0!</v>
      </c>
      <c r="I12" s="94" t="e">
        <f>E12*MIN(H$16,H$12)</f>
        <v>#DIV/0!</v>
      </c>
      <c r="J12" s="78" t="e">
        <f>I12/data!H$6*2*1000</f>
        <v>#DIV/0!</v>
      </c>
      <c r="K12" s="87" t="e">
        <f>J12/1000</f>
        <v>#DIV/0!</v>
      </c>
    </row>
    <row r="13" spans="1:11" x14ac:dyDescent="0.25">
      <c r="A13" s="76" t="s">
        <v>91</v>
      </c>
      <c r="B13" s="88">
        <v>160</v>
      </c>
      <c r="C13" s="76">
        <v>0.15</v>
      </c>
      <c r="D13" s="76">
        <v>1</v>
      </c>
      <c r="E13" s="87" t="e">
        <f>C13*$E$3^2*($F$3*$G$3)^0.5*(1-0.1*$B$7^0.5)*(0.5+(0.02*B13/$E$3)^0.5)*(2.4+($J$3/90)^2)/D13</f>
        <v>#DIV/0!</v>
      </c>
      <c r="F13" s="92" t="e">
        <f>SIN(($C$3-$J$3)*PI()/180)*data!$C$11</f>
        <v>#DIV/0!</v>
      </c>
      <c r="G13" s="92" t="e">
        <f>SIN(($C$3-$J$3)*PI()/180)*data!C$14</f>
        <v>#DIV/0!</v>
      </c>
      <c r="H13" s="93" t="e">
        <f t="shared" ref="H13:H14" si="0">1.45-0.05*MAX(F13,G13)/$E$3</f>
        <v>#DIV/0!</v>
      </c>
      <c r="I13" s="94" t="e">
        <f>E13*MIN(H$16,H$12)</f>
        <v>#DIV/0!</v>
      </c>
      <c r="J13" s="78" t="e">
        <f>I13/data!H$6*2*1000</f>
        <v>#DIV/0!</v>
      </c>
      <c r="K13" s="87" t="e">
        <f t="shared" ref="K13:K14" si="1">J13/1000</f>
        <v>#DIV/0!</v>
      </c>
    </row>
    <row r="14" spans="1:11" x14ac:dyDescent="0.25">
      <c r="A14" s="76" t="s">
        <v>91</v>
      </c>
      <c r="B14" s="88">
        <v>60</v>
      </c>
      <c r="C14" s="76">
        <v>0.15</v>
      </c>
      <c r="D14" s="76">
        <v>1</v>
      </c>
      <c r="E14" s="87" t="e">
        <f>C14*$E$3^2*($F$3*$G$3)^0.5*(1-0.1*$B$7^0.5)*(0.5+(0.02*B14/$E$3)^0.5)*(2.4+($J$3/90)^2)/D14</f>
        <v>#DIV/0!</v>
      </c>
      <c r="F14" s="92" t="e">
        <f>SIN(($C$3-$J$3)*PI()/180)*data!$C$11</f>
        <v>#DIV/0!</v>
      </c>
      <c r="G14" s="92" t="e">
        <f>SIN(($C$3-$J$3)*PI()/180)*data!C$14</f>
        <v>#DIV/0!</v>
      </c>
      <c r="H14" s="93" t="e">
        <f t="shared" si="0"/>
        <v>#DIV/0!</v>
      </c>
      <c r="I14" s="94" t="e">
        <f>E14*MIN(H$16,H$12)</f>
        <v>#DIV/0!</v>
      </c>
      <c r="J14" s="78" t="e">
        <f>I14/data!H$6*2*1000</f>
        <v>#DIV/0!</v>
      </c>
      <c r="K14" s="87" t="e">
        <f t="shared" si="1"/>
        <v>#DIV/0!</v>
      </c>
    </row>
    <row r="16" spans="1:11" x14ac:dyDescent="0.25">
      <c r="H16" t="e">
        <f>0.95+35000*E3^2*MIN(F12,G12)/(B3^2*'data 2'!C9)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workbookViewId="0">
      <selection activeCell="I3" sqref="I3"/>
    </sheetView>
  </sheetViews>
  <sheetFormatPr baseColWidth="10" defaultRowHeight="15.75" x14ac:dyDescent="0.25"/>
  <sheetData>
    <row r="2" spans="2:14" x14ac:dyDescent="0.25">
      <c r="B2" t="str">
        <f>data!P5</f>
        <v>θ1</v>
      </c>
      <c r="C2" t="str">
        <f>data!Q5</f>
        <v>θ2</v>
      </c>
      <c r="D2" t="str">
        <f>data!R5</f>
        <v>θ3</v>
      </c>
      <c r="E2" t="str">
        <f>data!B5</f>
        <v>R1 (mm)</v>
      </c>
      <c r="F2" t="str">
        <f>data!D5</f>
        <v>R2inf (mm)</v>
      </c>
      <c r="G2" t="str">
        <f>data!C5</f>
        <v>R2sup (mm)</v>
      </c>
      <c r="H2" t="str">
        <f>data!E5</f>
        <v>R3 (mm)</v>
      </c>
      <c r="I2" t="str">
        <f>data!F5</f>
        <v>t (mm)</v>
      </c>
      <c r="J2" t="str">
        <f>data!H5</f>
        <v>Pitch (mm)</v>
      </c>
      <c r="K2" t="str">
        <f>data!I5</f>
        <v>hw (mm)</v>
      </c>
      <c r="L2" t="str">
        <f>data!J5</f>
        <v>fyb (N/mm²)</v>
      </c>
      <c r="M2" t="str">
        <f>data!K5</f>
        <v>E (N/mm²)</v>
      </c>
      <c r="N2" s="60" t="s">
        <v>16</v>
      </c>
    </row>
    <row r="3" spans="2:14" x14ac:dyDescent="0.25">
      <c r="B3" t="e">
        <f>data!P6</f>
        <v>#DIV/0!</v>
      </c>
      <c r="C3" t="e">
        <f>data!Q6</f>
        <v>#DIV/0!</v>
      </c>
      <c r="D3" t="e">
        <f>data!R6</f>
        <v>#DIV/0!</v>
      </c>
      <c r="E3">
        <f>IF(data!B6=0,0,data!B6+data!$G$6/2)</f>
        <v>0</v>
      </c>
      <c r="F3">
        <f>IF(data!D6=0,0,data!D6+data!$G$6/2)</f>
        <v>0</v>
      </c>
      <c r="G3">
        <f>IF(data!C6=0,0,data!C6+data!$G$6/2)</f>
        <v>0</v>
      </c>
      <c r="H3">
        <f>IF(data!E6=0,0,data!E6+data!$G$6/2)</f>
        <v>0</v>
      </c>
      <c r="I3">
        <f>data!F6</f>
        <v>0</v>
      </c>
      <c r="J3">
        <f>data!H6</f>
        <v>0</v>
      </c>
      <c r="K3">
        <f>data!I6</f>
        <v>0</v>
      </c>
      <c r="L3">
        <f>data!J6</f>
        <v>0</v>
      </c>
      <c r="M3">
        <f>data!K6</f>
        <v>0</v>
      </c>
      <c r="N3" s="60" t="e">
        <f>K3/SIN(C3)-2*F16</f>
        <v>#DIV/0!</v>
      </c>
    </row>
    <row r="4" spans="2:14" x14ac:dyDescent="0.25">
      <c r="H4" t="e">
        <f>0.93*1.18*data!$F$6*(1-data!$M$6/0.9/(2/3^0.5)^0.5/data!$L$6)</f>
        <v>#DIV/0!</v>
      </c>
    </row>
    <row r="5" spans="2:14" x14ac:dyDescent="0.25">
      <c r="B5" t="str">
        <f>data!B8</f>
        <v>Element</v>
      </c>
      <c r="C5" t="str">
        <f>data!C8</f>
        <v>li (mm)</v>
      </c>
      <c r="D5" t="str">
        <f>data!D8</f>
        <v>liz (mm)</v>
      </c>
      <c r="E5" t="str">
        <f>data!E8</f>
        <v>liy (mm)</v>
      </c>
    </row>
    <row r="6" spans="2:14" x14ac:dyDescent="0.25">
      <c r="B6">
        <f>data!B9</f>
        <v>1</v>
      </c>
      <c r="C6" s="28">
        <f>data!C9</f>
        <v>0</v>
      </c>
      <c r="D6" s="28">
        <f>data!D9</f>
        <v>0</v>
      </c>
      <c r="E6" s="28">
        <f>data!E9</f>
        <v>0</v>
      </c>
    </row>
    <row r="7" spans="2:14" x14ac:dyDescent="0.25">
      <c r="B7">
        <f>data!B10</f>
        <v>2</v>
      </c>
      <c r="C7" s="28">
        <f>data!C10</f>
        <v>0</v>
      </c>
      <c r="D7" s="28">
        <f>data!D10</f>
        <v>0</v>
      </c>
      <c r="E7" s="28">
        <f>data!E10</f>
        <v>0</v>
      </c>
    </row>
    <row r="8" spans="2:14" x14ac:dyDescent="0.25">
      <c r="B8">
        <f>data!B11</f>
        <v>3</v>
      </c>
      <c r="C8" s="28">
        <f>data!C11</f>
        <v>0</v>
      </c>
      <c r="D8" s="28">
        <f>data!D11</f>
        <v>0</v>
      </c>
      <c r="E8" s="28">
        <f>data!E11</f>
        <v>0</v>
      </c>
    </row>
    <row r="9" spans="2:14" x14ac:dyDescent="0.25">
      <c r="B9">
        <f>data!B12</f>
        <v>4</v>
      </c>
      <c r="C9" s="28">
        <f>data!C12</f>
        <v>0</v>
      </c>
      <c r="D9" s="28">
        <f>data!D12</f>
        <v>0</v>
      </c>
      <c r="E9" s="28">
        <f>data!E12</f>
        <v>0</v>
      </c>
    </row>
    <row r="10" spans="2:14" x14ac:dyDescent="0.25">
      <c r="B10">
        <f>data!B13</f>
        <v>5</v>
      </c>
      <c r="C10" s="28">
        <f>data!C13</f>
        <v>0</v>
      </c>
      <c r="D10" s="28">
        <f>data!D13</f>
        <v>0</v>
      </c>
      <c r="E10" s="28">
        <f>data!E13</f>
        <v>0</v>
      </c>
    </row>
    <row r="11" spans="2:14" x14ac:dyDescent="0.25">
      <c r="B11">
        <f>data!B14</f>
        <v>6</v>
      </c>
      <c r="C11" s="28">
        <f>data!C14</f>
        <v>0</v>
      </c>
      <c r="D11" s="28">
        <f>data!D14</f>
        <v>0</v>
      </c>
      <c r="E11" s="28">
        <f>data!E14</f>
        <v>0</v>
      </c>
    </row>
    <row r="12" spans="2:14" x14ac:dyDescent="0.25">
      <c r="B12">
        <f>data!B15</f>
        <v>7</v>
      </c>
      <c r="C12" s="28">
        <f>data!C15</f>
        <v>0</v>
      </c>
      <c r="D12" s="28">
        <f>data!D15</f>
        <v>0</v>
      </c>
      <c r="E12" s="28">
        <f>data!E15</f>
        <v>0</v>
      </c>
    </row>
    <row r="15" spans="2:14" x14ac:dyDescent="0.25">
      <c r="B15" s="8" t="s">
        <v>5</v>
      </c>
      <c r="C15" s="9">
        <f>B1</f>
        <v>0</v>
      </c>
      <c r="D15" s="24"/>
      <c r="E15" s="11"/>
      <c r="F15" s="12"/>
      <c r="G15" s="12"/>
      <c r="H15" s="8" t="s">
        <v>6</v>
      </c>
      <c r="I15" s="9">
        <f>D1</f>
        <v>0</v>
      </c>
      <c r="K15" s="8" t="s">
        <v>7</v>
      </c>
      <c r="L15" s="9">
        <f>2*D1</f>
        <v>0</v>
      </c>
    </row>
    <row r="16" spans="2:14" x14ac:dyDescent="0.25">
      <c r="B16" s="13" t="s">
        <v>8</v>
      </c>
      <c r="C16" s="14" t="e">
        <f>$E$3*(TAN(B3/2)-SIN(B3/2))</f>
        <v>#DIV/0!</v>
      </c>
      <c r="D16" s="12"/>
      <c r="E16" s="13" t="s">
        <v>157</v>
      </c>
      <c r="F16" s="14" t="e">
        <f>$F$3*(TAN(C3/2)-SIN(C3/2))</f>
        <v>#DIV/0!</v>
      </c>
      <c r="G16" s="12"/>
      <c r="H16" s="13" t="s">
        <v>9</v>
      </c>
      <c r="I16" s="14" t="e">
        <f>$H$3*(TAN(D3/2)-SIN(D3/2))</f>
        <v>#DIV/0!</v>
      </c>
      <c r="K16" s="13" t="s">
        <v>10</v>
      </c>
      <c r="L16" s="14">
        <f>$J$3*(TAN(L15/2)-SIN(L15/2))</f>
        <v>0</v>
      </c>
    </row>
    <row r="17" spans="1:14" x14ac:dyDescent="0.25">
      <c r="B17" s="15" t="s">
        <v>11</v>
      </c>
      <c r="C17" s="16" t="e">
        <f>$E$3*SIN(B3/2)</f>
        <v>#DIV/0!</v>
      </c>
      <c r="D17" s="12"/>
      <c r="E17" s="15" t="s">
        <v>158</v>
      </c>
      <c r="F17" s="16" t="e">
        <f>$F$3*SIN(C3/2)</f>
        <v>#DIV/0!</v>
      </c>
      <c r="G17" s="12"/>
      <c r="H17" s="15" t="s">
        <v>12</v>
      </c>
      <c r="I17" s="16" t="e">
        <f>$H$3*SIN(D3/2)</f>
        <v>#DIV/0!</v>
      </c>
      <c r="K17" s="15" t="s">
        <v>13</v>
      </c>
      <c r="L17" s="16">
        <f>$J$3*SIN(L15/2)</f>
        <v>0</v>
      </c>
    </row>
    <row r="18" spans="1:14" x14ac:dyDescent="0.25">
      <c r="B18" s="17" t="s">
        <v>14</v>
      </c>
      <c r="C18" s="18" t="e">
        <f>E5-C16</f>
        <v>#VALUE!</v>
      </c>
      <c r="D18" s="12"/>
      <c r="E18" s="17" t="s">
        <v>14</v>
      </c>
      <c r="F18" s="18" t="e">
        <f>H5-F16</f>
        <v>#DIV/0!</v>
      </c>
      <c r="G18" s="12"/>
      <c r="H18" s="17" t="s">
        <v>14</v>
      </c>
      <c r="I18" s="18" t="e">
        <f>K5-I16</f>
        <v>#DIV/0!</v>
      </c>
      <c r="J18" s="19"/>
      <c r="K18" s="17" t="s">
        <v>14</v>
      </c>
      <c r="L18" s="18">
        <f>N7-L16</f>
        <v>0</v>
      </c>
    </row>
    <row r="19" spans="1:14" x14ac:dyDescent="0.25">
      <c r="B19" s="17" t="s">
        <v>15</v>
      </c>
      <c r="C19" s="18" t="e">
        <f>E11-C16</f>
        <v>#DIV/0!</v>
      </c>
      <c r="D19" s="12"/>
      <c r="E19" s="13" t="s">
        <v>161</v>
      </c>
      <c r="F19" s="14" t="e">
        <f>$G$3*(TAN(C$3/2)-SIN(C$3/2))</f>
        <v>#DIV/0!</v>
      </c>
      <c r="G19" s="12"/>
      <c r="H19" s="17" t="s">
        <v>15</v>
      </c>
      <c r="I19" s="18" t="e">
        <f>K11-I16</f>
        <v>#DIV/0!</v>
      </c>
      <c r="J19" s="19"/>
      <c r="K19" s="17" t="s">
        <v>15</v>
      </c>
      <c r="L19" s="18">
        <f>N11-L16</f>
        <v>0</v>
      </c>
    </row>
    <row r="20" spans="1:14" x14ac:dyDescent="0.25">
      <c r="B20" s="17" t="s">
        <v>16</v>
      </c>
      <c r="C20" s="18" t="e">
        <f>(((E7+E8+E10)^2+D13^2)^0.5-2*C16)</f>
        <v>#DIV/0!</v>
      </c>
      <c r="D20" s="12"/>
      <c r="E20" s="15" t="s">
        <v>162</v>
      </c>
      <c r="F20" s="16" t="e">
        <f>$G$3*SIN(C$3/2)</f>
        <v>#DIV/0!</v>
      </c>
      <c r="G20" s="12"/>
      <c r="H20" s="17" t="s">
        <v>16</v>
      </c>
      <c r="I20" s="18" t="e">
        <f>(((K7+K8+K10)^2+J13^2)^0.5-2*I16)</f>
        <v>#DIV/0!</v>
      </c>
      <c r="J20" s="19"/>
      <c r="K20" s="17" t="s">
        <v>16</v>
      </c>
      <c r="L20" s="18">
        <f>(((N8+N9+N10)^2+M13^2)^0.5-2*L16)</f>
        <v>0</v>
      </c>
    </row>
    <row r="21" spans="1:14" x14ac:dyDescent="0.25">
      <c r="B21" s="17" t="s">
        <v>17</v>
      </c>
      <c r="C21" s="20" t="e">
        <f>C18-C17</f>
        <v>#VALUE!</v>
      </c>
      <c r="D21" s="12"/>
      <c r="E21" s="23" t="s">
        <v>163</v>
      </c>
      <c r="F21" s="16" t="e">
        <f>$G$3*C$3</f>
        <v>#DIV/0!</v>
      </c>
      <c r="G21" s="12"/>
      <c r="H21" s="17" t="s">
        <v>17</v>
      </c>
      <c r="I21" s="20" t="e">
        <f>I18-I17</f>
        <v>#DIV/0!</v>
      </c>
      <c r="J21" s="19"/>
      <c r="K21" s="17" t="s">
        <v>17</v>
      </c>
      <c r="L21" s="20">
        <f>L18-L17</f>
        <v>0</v>
      </c>
    </row>
    <row r="22" spans="1:14" x14ac:dyDescent="0.25">
      <c r="B22" s="17" t="s">
        <v>18</v>
      </c>
      <c r="C22" s="21" t="e">
        <f>C19-C17</f>
        <v>#DIV/0!</v>
      </c>
      <c r="D22" s="12"/>
      <c r="E22" s="23" t="s">
        <v>164</v>
      </c>
      <c r="F22" s="16" t="e">
        <f>$G$3*(1-SIN(C$3)/C$3)</f>
        <v>#DIV/0!</v>
      </c>
      <c r="G22" s="12"/>
      <c r="H22" s="17" t="s">
        <v>18</v>
      </c>
      <c r="I22" s="21" t="e">
        <f>I19-I17</f>
        <v>#DIV/0!</v>
      </c>
      <c r="J22" s="19"/>
      <c r="K22" s="17" t="s">
        <v>18</v>
      </c>
      <c r="L22" s="21">
        <f>L19-L17</f>
        <v>0</v>
      </c>
    </row>
    <row r="23" spans="1:14" x14ac:dyDescent="0.25">
      <c r="B23" s="22" t="s">
        <v>19</v>
      </c>
      <c r="C23" s="20" t="e">
        <f>C20-2*$D$9</f>
        <v>#DIV/0!</v>
      </c>
      <c r="D23" s="12"/>
      <c r="E23" s="22" t="s">
        <v>19</v>
      </c>
      <c r="F23" s="20" t="e">
        <f>F20-2*$D$9</f>
        <v>#DIV/0!</v>
      </c>
      <c r="G23" s="12"/>
      <c r="H23" s="22" t="s">
        <v>19</v>
      </c>
      <c r="I23" s="20" t="e">
        <f>I20-2*$D$9</f>
        <v>#DIV/0!</v>
      </c>
      <c r="J23" s="19"/>
      <c r="K23" s="22" t="s">
        <v>19</v>
      </c>
      <c r="L23" s="20">
        <f>L20-2*$D$11</f>
        <v>0</v>
      </c>
    </row>
    <row r="24" spans="1:14" x14ac:dyDescent="0.25">
      <c r="B24" s="23" t="s">
        <v>20</v>
      </c>
      <c r="C24" s="16" t="e">
        <f>$E$3*B3</f>
        <v>#DIV/0!</v>
      </c>
      <c r="D24" s="12"/>
      <c r="E24" s="23" t="s">
        <v>159</v>
      </c>
      <c r="F24" s="16" t="e">
        <f>$F$3*C3</f>
        <v>#DIV/0!</v>
      </c>
      <c r="G24" s="12"/>
      <c r="H24" s="23" t="s">
        <v>21</v>
      </c>
      <c r="I24" s="16" t="e">
        <f>$H$3*D3</f>
        <v>#DIV/0!</v>
      </c>
      <c r="K24" s="23" t="s">
        <v>22</v>
      </c>
      <c r="L24" s="16">
        <f>$J$3*L15</f>
        <v>0</v>
      </c>
    </row>
    <row r="25" spans="1:14" x14ac:dyDescent="0.25">
      <c r="B25" s="23" t="s">
        <v>23</v>
      </c>
      <c r="C25" s="16" t="e">
        <f>$E$3*(1-SIN(B3)/B3)</f>
        <v>#DIV/0!</v>
      </c>
      <c r="D25" s="12"/>
      <c r="E25" s="23" t="s">
        <v>160</v>
      </c>
      <c r="F25" s="16" t="e">
        <f>$F$3*(1-SIN(C3)/C3)</f>
        <v>#DIV/0!</v>
      </c>
      <c r="G25" s="12"/>
      <c r="H25" s="23" t="s">
        <v>24</v>
      </c>
      <c r="I25" s="16" t="e">
        <f>$H$3*(1-SIN(D3)/D3)</f>
        <v>#DIV/0!</v>
      </c>
      <c r="K25" s="23" t="s">
        <v>25</v>
      </c>
      <c r="L25" s="16" t="e">
        <f>$J$3*(1-SIN(L15)/L15)</f>
        <v>#DIV/0!</v>
      </c>
    </row>
    <row r="27" spans="1:14" ht="18" x14ac:dyDescent="0.3">
      <c r="B27" s="1" t="s">
        <v>4</v>
      </c>
      <c r="C27" s="1" t="s">
        <v>26</v>
      </c>
      <c r="D27" s="1" t="s">
        <v>27</v>
      </c>
      <c r="E27" s="1" t="s">
        <v>28</v>
      </c>
      <c r="F27" s="25"/>
      <c r="G27" s="25"/>
      <c r="H27" s="36" t="s">
        <v>4</v>
      </c>
      <c r="I27" s="36" t="s">
        <v>29</v>
      </c>
      <c r="J27" s="36" t="s">
        <v>30</v>
      </c>
      <c r="K27" s="36" t="s">
        <v>31</v>
      </c>
      <c r="L27" s="36" t="s">
        <v>32</v>
      </c>
      <c r="M27" s="37" t="s">
        <v>33</v>
      </c>
      <c r="N27" s="36" t="s">
        <v>34</v>
      </c>
    </row>
    <row r="28" spans="1:14" x14ac:dyDescent="0.25">
      <c r="A28" s="153" t="s">
        <v>171</v>
      </c>
      <c r="B28" s="154">
        <v>1</v>
      </c>
      <c r="C28" s="155" t="e">
        <f>C6-F16-F17</f>
        <v>#DIV/0!</v>
      </c>
      <c r="D28" s="1"/>
      <c r="E28" s="1"/>
      <c r="F28" s="25"/>
      <c r="G28" s="25"/>
      <c r="H28" s="36">
        <v>1</v>
      </c>
      <c r="I28" s="40" t="e">
        <f>C28*$I$3</f>
        <v>#DIV/0!</v>
      </c>
      <c r="J28" s="38">
        <f>K3</f>
        <v>0</v>
      </c>
      <c r="K28" s="40" t="e">
        <f>I28*J28</f>
        <v>#DIV/0!</v>
      </c>
      <c r="L28" s="40" t="e">
        <f>L$43-J28</f>
        <v>#DIV/0!</v>
      </c>
      <c r="M28" s="37" t="e">
        <f>H4</f>
        <v>#DIV/0!</v>
      </c>
      <c r="N28" s="38" t="e">
        <f>I28*M28^2/12+I28*L28^2</f>
        <v>#DIV/0!</v>
      </c>
    </row>
    <row r="29" spans="1:14" x14ac:dyDescent="0.25">
      <c r="A29" s="28"/>
      <c r="B29" s="154">
        <v>2</v>
      </c>
      <c r="C29" s="155" t="e">
        <f>F24</f>
        <v>#DIV/0!</v>
      </c>
      <c r="D29" s="3"/>
      <c r="E29" s="3"/>
      <c r="F29" s="10"/>
      <c r="G29" s="10"/>
      <c r="H29" s="45">
        <v>2</v>
      </c>
      <c r="I29" s="115" t="e">
        <f>C29*$H$4</f>
        <v>#DIV/0!</v>
      </c>
      <c r="J29" s="47" t="e">
        <f>K3-F25</f>
        <v>#DIV/0!</v>
      </c>
      <c r="K29" s="46" t="e">
        <f>I29*J29</f>
        <v>#DIV/0!</v>
      </c>
      <c r="L29" s="46" t="e">
        <f t="shared" ref="L29:L40" si="0">L$43-J29</f>
        <v>#DIV/0!</v>
      </c>
      <c r="M29" s="48"/>
      <c r="N29" s="47" t="e">
        <f>$H$4*$F$3^3*(($C$3+SIN($C$3)*COS($C$3))/2-SIN($C$3)^2/$C$3)+I29*L29^2</f>
        <v>#DIV/0!</v>
      </c>
    </row>
    <row r="30" spans="1:14" x14ac:dyDescent="0.25">
      <c r="A30" s="28"/>
      <c r="B30" s="1">
        <v>3</v>
      </c>
      <c r="C30" s="31" t="e">
        <f>C7-F16-F17-I16-I17</f>
        <v>#DIV/0!</v>
      </c>
      <c r="D30" s="3"/>
      <c r="E30" s="3"/>
      <c r="F30" s="10"/>
      <c r="G30" s="49" t="s">
        <v>35</v>
      </c>
      <c r="H30" s="36">
        <v>3</v>
      </c>
      <c r="I30" s="115" t="e">
        <f t="shared" ref="I30:I35" si="1">C30*$H$4</f>
        <v>#DIV/0!</v>
      </c>
      <c r="J30" s="42">
        <f>K3-D7/2</f>
        <v>0</v>
      </c>
      <c r="K30" s="40" t="e">
        <f t="shared" ref="K30:K36" si="2">I30*J30</f>
        <v>#DIV/0!</v>
      </c>
      <c r="L30" s="40" t="e">
        <f t="shared" si="0"/>
        <v>#DIV/0!</v>
      </c>
      <c r="M30" s="41" t="e">
        <f>C30*SIN(C3)</f>
        <v>#DIV/0!</v>
      </c>
      <c r="N30" s="38" t="e">
        <f>I30*M30^2/12+I30*L30^2</f>
        <v>#DIV/0!</v>
      </c>
    </row>
    <row r="31" spans="1:14" x14ac:dyDescent="0.25">
      <c r="A31" s="28"/>
      <c r="B31" s="1">
        <v>4</v>
      </c>
      <c r="C31" s="32" t="e">
        <f>I24</f>
        <v>#DIV/0!</v>
      </c>
      <c r="D31" s="3"/>
      <c r="E31" s="3"/>
      <c r="F31" s="10"/>
      <c r="G31" s="10"/>
      <c r="H31" s="45">
        <v>4</v>
      </c>
      <c r="I31" s="115" t="e">
        <f t="shared" si="1"/>
        <v>#DIV/0!</v>
      </c>
      <c r="J31" s="47">
        <f>K3-D7</f>
        <v>0</v>
      </c>
      <c r="K31" s="46" t="e">
        <f t="shared" si="2"/>
        <v>#DIV/0!</v>
      </c>
      <c r="L31" s="46" t="e">
        <f t="shared" si="0"/>
        <v>#DIV/0!</v>
      </c>
      <c r="M31" s="48"/>
      <c r="N31" s="47" t="e">
        <f>$H$4*$H$3^3*(($D$3+SIN($D$3)*COS($D$3))/2-SIN($D$3)^2/$D$3)+I31*L31^2</f>
        <v>#DIV/0!</v>
      </c>
    </row>
    <row r="32" spans="1:14" x14ac:dyDescent="0.25">
      <c r="A32" s="28"/>
      <c r="B32" s="1">
        <v>5</v>
      </c>
      <c r="C32" s="31" t="e">
        <f>C8-2*I16-2*I17</f>
        <v>#DIV/0!</v>
      </c>
      <c r="D32" s="3"/>
      <c r="E32" s="3"/>
      <c r="F32" s="10"/>
      <c r="G32" s="10"/>
      <c r="H32" s="36">
        <v>5</v>
      </c>
      <c r="I32" s="115" t="e">
        <f t="shared" si="1"/>
        <v>#DIV/0!</v>
      </c>
      <c r="J32" s="39">
        <f>K3-D7-D8/2</f>
        <v>0</v>
      </c>
      <c r="K32" s="40" t="e">
        <f t="shared" si="2"/>
        <v>#DIV/0!</v>
      </c>
      <c r="L32" s="40" t="e">
        <f t="shared" si="0"/>
        <v>#DIV/0!</v>
      </c>
      <c r="M32" s="41" t="e">
        <f>C32*SIN(D3)</f>
        <v>#DIV/0!</v>
      </c>
      <c r="N32" s="38" t="e">
        <f>I32*M32^2/12+I32*L32^2</f>
        <v>#DIV/0!</v>
      </c>
    </row>
    <row r="33" spans="1:16" x14ac:dyDescent="0.25">
      <c r="A33" s="28"/>
      <c r="B33" s="1">
        <v>6</v>
      </c>
      <c r="C33" s="31" t="e">
        <f>I24</f>
        <v>#DIV/0!</v>
      </c>
      <c r="D33" s="3"/>
      <c r="E33" s="3"/>
      <c r="F33" s="10"/>
      <c r="G33" s="10"/>
      <c r="H33" s="45">
        <v>6</v>
      </c>
      <c r="I33" s="115" t="e">
        <f t="shared" si="1"/>
        <v>#DIV/0!</v>
      </c>
      <c r="J33" s="47">
        <f>K3-D7-D8</f>
        <v>0</v>
      </c>
      <c r="K33" s="46" t="e">
        <f t="shared" si="2"/>
        <v>#DIV/0!</v>
      </c>
      <c r="L33" s="46" t="e">
        <f t="shared" si="0"/>
        <v>#DIV/0!</v>
      </c>
      <c r="M33" s="48"/>
      <c r="N33" s="47" t="e">
        <f>$H$4*$H$3^3*(($D$3+SIN($D$3)*COS($D$3))/2-SIN($D$3)^2/$D$3)+I33*L33^2</f>
        <v>#DIV/0!</v>
      </c>
    </row>
    <row r="34" spans="1:16" x14ac:dyDescent="0.25">
      <c r="A34" s="28"/>
      <c r="B34" s="1">
        <v>7</v>
      </c>
      <c r="C34" s="31" t="e">
        <f>C9-F19-F20-I16-I17</f>
        <v>#DIV/0!</v>
      </c>
      <c r="D34" s="3"/>
      <c r="E34" s="3"/>
      <c r="F34" s="10"/>
      <c r="G34" s="10"/>
      <c r="H34" s="36">
        <v>7</v>
      </c>
      <c r="I34" s="115" t="e">
        <f t="shared" si="1"/>
        <v>#DIV/0!</v>
      </c>
      <c r="J34" s="42">
        <f>D9/2</f>
        <v>0</v>
      </c>
      <c r="K34" s="40" t="e">
        <f t="shared" si="2"/>
        <v>#DIV/0!</v>
      </c>
      <c r="L34" s="40" t="e">
        <f t="shared" si="0"/>
        <v>#DIV/0!</v>
      </c>
      <c r="M34" s="41" t="e">
        <f>C34*SIN(C3)</f>
        <v>#DIV/0!</v>
      </c>
      <c r="N34" s="38" t="e">
        <f t="shared" ref="N34" si="3">I34*M34^2/12+I34*L34^2</f>
        <v>#DIV/0!</v>
      </c>
      <c r="P34">
        <f>D11+D10+D9/2</f>
        <v>0</v>
      </c>
    </row>
    <row r="35" spans="1:16" x14ac:dyDescent="0.25">
      <c r="A35" s="28"/>
      <c r="B35" s="1">
        <v>8</v>
      </c>
      <c r="C35" s="31" t="e">
        <f>F21</f>
        <v>#DIV/0!</v>
      </c>
      <c r="D35" s="3"/>
      <c r="E35" s="3"/>
      <c r="F35" s="10"/>
      <c r="G35" s="10"/>
      <c r="H35" s="37">
        <v>8</v>
      </c>
      <c r="I35" s="115" t="e">
        <f t="shared" si="1"/>
        <v>#DIV/0!</v>
      </c>
      <c r="J35" s="124" t="e">
        <f>F22</f>
        <v>#DIV/0!</v>
      </c>
      <c r="K35" s="125" t="e">
        <f>I35*J35</f>
        <v>#DIV/0!</v>
      </c>
      <c r="L35" s="124" t="e">
        <f t="shared" si="0"/>
        <v>#DIV/0!</v>
      </c>
      <c r="M35" s="126"/>
      <c r="N35" s="42" t="e">
        <f>$H$4*$G$3^3*(($C$3+SIN($C$3)*COS($C$3))/2-SIN($C$3)^2/$C$3)+I35*L35^2</f>
        <v>#DIV/0!</v>
      </c>
    </row>
    <row r="36" spans="1:16" x14ac:dyDescent="0.25">
      <c r="A36" s="28"/>
      <c r="B36" s="1">
        <v>9</v>
      </c>
      <c r="C36" s="31" t="e">
        <f>C10-F19-F20-C16-C17</f>
        <v>#DIV/0!</v>
      </c>
      <c r="D36" s="3"/>
      <c r="E36" s="3"/>
      <c r="F36" s="10"/>
      <c r="G36" s="10"/>
      <c r="H36" s="37">
        <v>9</v>
      </c>
      <c r="I36" s="124" t="e">
        <f t="shared" ref="I36:I40" si="4">C36*$I$3</f>
        <v>#DIV/0!</v>
      </c>
      <c r="J36" s="42">
        <v>0</v>
      </c>
      <c r="K36" s="124" t="e">
        <f t="shared" si="2"/>
        <v>#DIV/0!</v>
      </c>
      <c r="L36" s="124" t="e">
        <f t="shared" si="0"/>
        <v>#DIV/0!</v>
      </c>
      <c r="M36" s="126">
        <f>I3</f>
        <v>0</v>
      </c>
      <c r="N36" s="42" t="e">
        <f>I36*M36^2/12+I36*L36^2</f>
        <v>#DIV/0!</v>
      </c>
    </row>
    <row r="37" spans="1:16" x14ac:dyDescent="0.25">
      <c r="A37" s="28"/>
      <c r="B37" s="1">
        <v>10</v>
      </c>
      <c r="C37" s="31" t="e">
        <f>C24</f>
        <v>#DIV/0!</v>
      </c>
      <c r="D37" s="3"/>
      <c r="E37" s="3"/>
      <c r="F37" s="10"/>
      <c r="G37" s="10"/>
      <c r="H37" s="37">
        <v>10</v>
      </c>
      <c r="I37" s="124" t="e">
        <f t="shared" si="4"/>
        <v>#DIV/0!</v>
      </c>
      <c r="J37" s="42" t="e">
        <f>C25</f>
        <v>#DIV/0!</v>
      </c>
      <c r="K37" s="124" t="e">
        <f t="shared" ref="K37:K40" si="5">I37*J37</f>
        <v>#DIV/0!</v>
      </c>
      <c r="L37" s="124" t="e">
        <f t="shared" si="0"/>
        <v>#DIV/0!</v>
      </c>
      <c r="M37" s="126"/>
      <c r="N37" s="42" t="e">
        <f>$I$3*$E$3^3*(($B$3+SIN($B$3)*COS($B$3))/2-SIN($B$3)^2/$B$3)+I37*L37^2</f>
        <v>#DIV/0!</v>
      </c>
    </row>
    <row r="38" spans="1:16" x14ac:dyDescent="0.25">
      <c r="A38" s="28"/>
      <c r="B38" s="1">
        <v>11</v>
      </c>
      <c r="C38" s="31" t="e">
        <f>C11-C16-C17-C16-C17</f>
        <v>#DIV/0!</v>
      </c>
      <c r="D38" s="3"/>
      <c r="E38" s="3"/>
      <c r="F38" s="10"/>
      <c r="G38" s="10"/>
      <c r="H38" s="37">
        <v>11</v>
      </c>
      <c r="I38" s="124" t="e">
        <f t="shared" si="4"/>
        <v>#DIV/0!</v>
      </c>
      <c r="J38" s="124">
        <f>D11/2</f>
        <v>0</v>
      </c>
      <c r="K38" s="124" t="e">
        <f t="shared" si="5"/>
        <v>#DIV/0!</v>
      </c>
      <c r="L38" s="124" t="e">
        <f t="shared" si="0"/>
        <v>#DIV/0!</v>
      </c>
      <c r="M38" s="126" t="e">
        <f>C38*SIN(B3)</f>
        <v>#DIV/0!</v>
      </c>
      <c r="N38" s="42" t="e">
        <f t="shared" ref="N38:N40" si="6">I38*M38^2/12+I38*L38^2</f>
        <v>#DIV/0!</v>
      </c>
    </row>
    <row r="39" spans="1:16" x14ac:dyDescent="0.25">
      <c r="A39" s="28"/>
      <c r="B39" s="1">
        <v>12</v>
      </c>
      <c r="C39" s="31" t="e">
        <f>C24</f>
        <v>#DIV/0!</v>
      </c>
      <c r="D39" s="3"/>
      <c r="E39" s="3"/>
      <c r="F39" s="10"/>
      <c r="G39" s="10"/>
      <c r="H39" s="37">
        <v>12</v>
      </c>
      <c r="I39" s="124" t="e">
        <f t="shared" si="4"/>
        <v>#DIV/0!</v>
      </c>
      <c r="J39" s="124" t="e">
        <f>D11-C25</f>
        <v>#DIV/0!</v>
      </c>
      <c r="K39" s="124" t="e">
        <f t="shared" si="5"/>
        <v>#DIV/0!</v>
      </c>
      <c r="L39" s="124" t="e">
        <f t="shared" si="0"/>
        <v>#DIV/0!</v>
      </c>
      <c r="M39" s="126"/>
      <c r="N39" s="42" t="e">
        <f>$I$3*$E$3^3*(($B$3+SIN($B$3)*COS($B$3))/2-SIN($B$3)^2/$B$3)+I39*L39^2</f>
        <v>#DIV/0!</v>
      </c>
    </row>
    <row r="40" spans="1:16" x14ac:dyDescent="0.25">
      <c r="A40" s="28"/>
      <c r="B40" s="1">
        <v>13</v>
      </c>
      <c r="C40" s="31" t="e">
        <f>C12-C16-C17</f>
        <v>#DIV/0!</v>
      </c>
      <c r="D40" s="3"/>
      <c r="E40" s="3"/>
      <c r="F40" s="10"/>
      <c r="G40" s="10"/>
      <c r="H40" s="37">
        <v>13</v>
      </c>
      <c r="I40" s="124" t="e">
        <f t="shared" si="4"/>
        <v>#DIV/0!</v>
      </c>
      <c r="J40" s="42">
        <f>D11</f>
        <v>0</v>
      </c>
      <c r="K40" s="124" t="e">
        <f t="shared" si="5"/>
        <v>#DIV/0!</v>
      </c>
      <c r="L40" s="124" t="e">
        <f t="shared" si="0"/>
        <v>#DIV/0!</v>
      </c>
      <c r="M40" s="126">
        <f>I3</f>
        <v>0</v>
      </c>
      <c r="N40" s="42" t="e">
        <f t="shared" si="6"/>
        <v>#DIV/0!</v>
      </c>
    </row>
    <row r="41" spans="1:16" x14ac:dyDescent="0.25">
      <c r="B41" s="1"/>
      <c r="C41" s="29"/>
      <c r="D41" s="3"/>
      <c r="E41" s="3"/>
      <c r="F41" s="10"/>
      <c r="G41" s="10"/>
      <c r="H41" s="36"/>
      <c r="I41" s="44"/>
      <c r="J41" s="39"/>
      <c r="K41" s="40"/>
      <c r="L41" s="40"/>
      <c r="M41" s="41"/>
      <c r="N41" s="39"/>
    </row>
    <row r="42" spans="1:16" x14ac:dyDescent="0.25">
      <c r="B42" s="1"/>
      <c r="C42" s="29"/>
      <c r="D42" s="3"/>
      <c r="E42" s="3"/>
      <c r="F42" s="10"/>
      <c r="G42" s="9"/>
      <c r="H42" s="36"/>
      <c r="I42" s="44"/>
      <c r="J42" s="39"/>
      <c r="K42" s="40"/>
      <c r="L42" s="40"/>
      <c r="M42" s="43"/>
      <c r="N42" s="38"/>
    </row>
    <row r="43" spans="1:16" x14ac:dyDescent="0.25">
      <c r="B43" s="9"/>
      <c r="C43" s="28" t="e">
        <f>SUM(C28:C42)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6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I43*2/$J$3*1000</f>
        <v>#DIV/0!</v>
      </c>
      <c r="L44" s="28" t="e">
        <f>K3-L43</f>
        <v>#DIV/0!</v>
      </c>
      <c r="N44" t="e">
        <f>N43*2/$J$3*1000</f>
        <v>#DIV/0!</v>
      </c>
    </row>
    <row r="45" spans="1:16" x14ac:dyDescent="0.25">
      <c r="B45" s="23"/>
      <c r="C45" s="16"/>
      <c r="D45" s="9"/>
      <c r="E45" s="9"/>
      <c r="F45" s="9"/>
      <c r="G45" s="9"/>
      <c r="I45" t="e">
        <f>I44/10000</f>
        <v>#DIV/0!</v>
      </c>
      <c r="N45" t="e">
        <f>N44/10000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5" sqref="C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2'!K3-'data 2'!L43)/'data 2'!L43)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7" workbookViewId="0">
      <selection activeCell="C38" sqref="C38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 t="e">
        <f>data!$F$6*0.93*(1.18*(1-data!M6/(2/(3)^0.5)^0.5/data!L6))^(1/3)</f>
        <v>#DIV/0!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2'!K3-'data 2'!L43)/'data 2'!L43)</f>
        <v>#DIV/0!</v>
      </c>
      <c r="G3" s="24" t="e">
        <f>'data 2'!K3-'data 2'!L43</f>
        <v>#DIV/0!</v>
      </c>
      <c r="H3" s="102" t="e">
        <f>G3/SIN('data 2'!C3)-'data 2'!F16</f>
        <v>#DIV/0!</v>
      </c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B10/SIN(data!Q6)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((G3-B10-B13)/SIN(data!Q6))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SIN(data!Q6-web!F20)*(data!C10+data!C12)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22" sqref="J22"/>
    </sheetView>
  </sheetViews>
  <sheetFormatPr baseColWidth="10" defaultRowHeight="15.75" x14ac:dyDescent="0.25"/>
  <sheetData>
    <row r="2" spans="1:11" ht="16.5" x14ac:dyDescent="0.3">
      <c r="A2" s="127" t="s">
        <v>1</v>
      </c>
      <c r="B2" s="1" t="s">
        <v>1</v>
      </c>
      <c r="C2" s="1" t="s">
        <v>3</v>
      </c>
      <c r="D2" s="1" t="s">
        <v>2</v>
      </c>
    </row>
    <row r="3" spans="1:11" x14ac:dyDescent="0.25">
      <c r="A3" s="127">
        <f>data!$F$6</f>
        <v>0</v>
      </c>
      <c r="B3" s="123" t="e">
        <f>web!B3</f>
        <v>#DIV/0!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web!C36</f>
        <v>#DIV/0!</v>
      </c>
      <c r="D9" s="68">
        <f>A$3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 t="e">
        <f>'data 2'!M28</f>
        <v>#DIV/0!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web!C37</f>
        <v>#DIV/0!</v>
      </c>
      <c r="D10" s="119" t="e">
        <f t="shared" ref="D10:D21" si="1">B$3</f>
        <v>#DIV/0!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web!C38</f>
        <v>#DIV/0!</v>
      </c>
      <c r="D11" s="119" t="e">
        <f t="shared" si="1"/>
        <v>#DIV/0!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web!C39</f>
        <v>#DIV/0!</v>
      </c>
      <c r="D12" s="119" t="e">
        <f>B$3*web!D$32</f>
        <v>#DIV/0!</v>
      </c>
      <c r="E12" s="63" t="e">
        <f>IF(web!H$32&lt;1,C12*D12*web!G$32,C12*B$3)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web!C40</f>
        <v>#DIV/0!</v>
      </c>
      <c r="D13" s="119" t="e">
        <f>B$3</f>
        <v>#DIV/0!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web!C41</f>
        <v>#DIV/0!</v>
      </c>
      <c r="D14" s="119" t="e">
        <f>B$3*web!D$32</f>
        <v>#DIV/0!</v>
      </c>
      <c r="E14" s="63" t="e">
        <f>IF(web!H$32&lt;1,C14*D14*web!G$32,C14*B$3)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web!C42</f>
        <v>#DIV/0!</v>
      </c>
      <c r="D15" s="119" t="e">
        <f>B$3*web!D$32</f>
        <v>#DIV/0!</v>
      </c>
      <c r="E15" s="63" t="e">
        <f>IF(web!H$32&lt;1,C15*D15*web!G$32,C15*B$3)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web!C43</f>
        <v>#DIV/0!</v>
      </c>
      <c r="D16" s="119" t="e">
        <f>B$3*web!D$32</f>
        <v>#DIV/0!</v>
      </c>
      <c r="E16" s="63" t="e">
        <f>IF(web!H$32&lt;1,C16*D16*web!G$32,C16*B$3)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web!C44</f>
        <v>#DIV/0!</v>
      </c>
      <c r="D17" s="119" t="e">
        <f>B$3*web!D$32</f>
        <v>#DIV/0!</v>
      </c>
      <c r="E17" s="63" t="e">
        <f>IF(web!H$32&lt;1,C17*D17*web!G$32,C17*B$3)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web!C45</f>
        <v>#DIV/0!</v>
      </c>
      <c r="D18" s="119" t="e">
        <f t="shared" si="1"/>
        <v>#DIV/0!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web!C46</f>
        <v>#DIV/0!</v>
      </c>
      <c r="D19" s="119" t="e">
        <f t="shared" si="1"/>
        <v>#DIV/0!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web!C47</f>
        <v>#DIV/0!</v>
      </c>
      <c r="D20" s="119" t="e">
        <f t="shared" si="1"/>
        <v>#DIV/0!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117">
        <f>web!B48</f>
        <v>8</v>
      </c>
      <c r="C21" s="118" t="e">
        <f>web!C48</f>
        <v>#DIV/0!</v>
      </c>
      <c r="D21" s="119" t="e">
        <f t="shared" si="1"/>
        <v>#DIV/0!</v>
      </c>
      <c r="E21" s="119" t="e">
        <f t="shared" si="5"/>
        <v>#DIV/0!</v>
      </c>
      <c r="F21" s="120" t="e">
        <f>'data 2'!J35</f>
        <v>#DIV/0!</v>
      </c>
      <c r="G21" s="121" t="e">
        <f>E21*F24</f>
        <v>#DIV/0!</v>
      </c>
      <c r="H21" s="122" t="e">
        <f>$H$27-F24</f>
        <v>#DIV/0!</v>
      </c>
      <c r="I21" s="119"/>
      <c r="J21" s="116" t="e">
        <f>D21*'data 2'!G$3^3*(('data 2'!C$3+SIN('data 2'!C$3)*COS('data 2'!C$3))/2-SIN('data 2'!C$3)^2/'data 2'!C$3)+E21*H21^2</f>
        <v>#DIV/0!</v>
      </c>
    </row>
    <row r="22" spans="1:11" x14ac:dyDescent="0.25">
      <c r="B22" s="27">
        <f>web!B49</f>
        <v>9</v>
      </c>
      <c r="C22" s="128" t="e">
        <f>web!C49</f>
        <v>#DIV/0!</v>
      </c>
      <c r="D22" s="129">
        <f t="shared" ref="D22:D26" si="6">A$3</f>
        <v>0</v>
      </c>
      <c r="E22" s="129" t="e">
        <f t="shared" si="5"/>
        <v>#DIV/0!</v>
      </c>
      <c r="F22" s="32">
        <f>'data 2'!J36</f>
        <v>0</v>
      </c>
      <c r="G22" s="7" t="e">
        <f>E22*F25</f>
        <v>#DIV/0!</v>
      </c>
      <c r="H22" s="31" t="e">
        <f>$H$27-F25</f>
        <v>#DIV/0!</v>
      </c>
      <c r="I22" s="129">
        <f>'data 2'!M36</f>
        <v>0</v>
      </c>
      <c r="J22" s="130" t="e">
        <f t="shared" si="4"/>
        <v>#DIV/0!</v>
      </c>
    </row>
    <row r="23" spans="1:11" x14ac:dyDescent="0.25">
      <c r="B23" s="27">
        <f>web!B50</f>
        <v>10</v>
      </c>
      <c r="C23" s="128" t="e">
        <f>web!C50</f>
        <v>#DIV/0!</v>
      </c>
      <c r="D23" s="129">
        <f t="shared" si="6"/>
        <v>0</v>
      </c>
      <c r="E23" s="129" t="e">
        <f t="shared" si="5"/>
        <v>#DIV/0!</v>
      </c>
      <c r="F23" s="32" t="e">
        <f>'data 2'!J37</f>
        <v>#DIV/0!</v>
      </c>
      <c r="G23" s="7" t="e">
        <f t="shared" ref="G23:G26" si="7">E23*F26</f>
        <v>#DIV/0!</v>
      </c>
      <c r="H23" s="31" t="e">
        <f>$H$27-F26</f>
        <v>#DIV/0!</v>
      </c>
      <c r="I23" s="129"/>
      <c r="J23" s="42" t="e">
        <f>D23*'data 2'!E$3^3*(('data 2'!B$3+SIN('data 2'!B$3)*COS('data 2'!B$3))/2-SIN('data 2'!B$3)^2/'data 2'!B$3)+E23*H23^2</f>
        <v>#DIV/0!</v>
      </c>
    </row>
    <row r="24" spans="1:11" x14ac:dyDescent="0.25">
      <c r="B24" s="27">
        <f>web!B51</f>
        <v>11</v>
      </c>
      <c r="C24" s="128" t="e">
        <f>web!C51</f>
        <v>#DIV/0!</v>
      </c>
      <c r="D24" s="129">
        <f t="shared" si="6"/>
        <v>0</v>
      </c>
      <c r="E24" s="129" t="e">
        <f t="shared" si="5"/>
        <v>#DIV/0!</v>
      </c>
      <c r="F24" s="31">
        <f>'data 2'!J38</f>
        <v>0</v>
      </c>
      <c r="G24" s="7" t="e">
        <f t="shared" si="7"/>
        <v>#DIV/0!</v>
      </c>
      <c r="H24" s="31" t="e">
        <f t="shared" ref="H24:H26" si="8">$H$27-F27</f>
        <v>#DIV/0!</v>
      </c>
      <c r="I24" s="129" t="e">
        <f>'data 2'!M38</f>
        <v>#DIV/0!</v>
      </c>
      <c r="J24" s="130" t="e">
        <f t="shared" si="4"/>
        <v>#DIV/0!</v>
      </c>
    </row>
    <row r="25" spans="1:11" x14ac:dyDescent="0.25">
      <c r="B25" s="27">
        <f>web!B52</f>
        <v>12</v>
      </c>
      <c r="C25" s="128" t="e">
        <f>web!C52</f>
        <v>#DIV/0!</v>
      </c>
      <c r="D25" s="129">
        <f t="shared" si="6"/>
        <v>0</v>
      </c>
      <c r="E25" s="129" t="e">
        <f t="shared" si="5"/>
        <v>#DIV/0!</v>
      </c>
      <c r="F25" s="31" t="e">
        <f>'data 2'!J39</f>
        <v>#DIV/0!</v>
      </c>
      <c r="G25" s="7" t="e">
        <f t="shared" si="7"/>
        <v>#DIV/0!</v>
      </c>
      <c r="H25" s="31" t="e">
        <f t="shared" si="8"/>
        <v>#DIV/0!</v>
      </c>
      <c r="I25" s="129"/>
      <c r="J25" s="42" t="e">
        <f>D25*'data 2'!E$3^3*(('data 2'!B$3+SIN('data 2'!B$3)*COS('data 2'!B$3))/2-SIN('data 2'!B$3)^2/'data 2'!B$3)+E25*H25^2</f>
        <v>#DIV/0!</v>
      </c>
    </row>
    <row r="26" spans="1:11" x14ac:dyDescent="0.25">
      <c r="B26" s="27">
        <f>web!B53</f>
        <v>13</v>
      </c>
      <c r="C26" s="128" t="e">
        <f>web!C53</f>
        <v>#DIV/0!</v>
      </c>
      <c r="D26" s="129">
        <f t="shared" si="6"/>
        <v>0</v>
      </c>
      <c r="E26" s="129" t="e">
        <f t="shared" si="5"/>
        <v>#DIV/0!</v>
      </c>
      <c r="F26" s="31">
        <f>'data 2'!J40</f>
        <v>0</v>
      </c>
      <c r="G26" s="7" t="e">
        <f t="shared" si="7"/>
        <v>#DIV/0!</v>
      </c>
      <c r="H26" s="31" t="e">
        <f t="shared" si="8"/>
        <v>#DIV/0!</v>
      </c>
      <c r="I26" s="129">
        <f>'data 2'!M40</f>
        <v>0</v>
      </c>
      <c r="J26" s="130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data!I6-moment!H27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2'!K3-moment!H27)/moment!H27)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9" workbookViewId="0">
      <selection activeCell="C36" sqref="C36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 t="e">
        <f>web!B3</f>
        <v>#DIV/0!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2'!K3-moment!H27)/moment!H27)</f>
        <v>#DIV/0!</v>
      </c>
      <c r="G3" s="24" t="e">
        <f>'data 2'!K3-moment!H27</f>
        <v>#DIV/0!</v>
      </c>
      <c r="H3" s="102" t="e">
        <f>G3/SIN('data 2'!C3)-'data 2'!F16</f>
        <v>#DIV/0!</v>
      </c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B10/SIN(data!Q6)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((G3-B10-B13)/SIN(data!Q6))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SIN(data!Q6-'web (2)'!F20)*(data!C10+data!C12)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11" sqref="J11"/>
    </sheetView>
  </sheetViews>
  <sheetFormatPr baseColWidth="10" defaultRowHeight="15.75" x14ac:dyDescent="0.25"/>
  <sheetData>
    <row r="2" spans="1:11" ht="16.5" x14ac:dyDescent="0.3">
      <c r="A2" s="127" t="s">
        <v>1</v>
      </c>
      <c r="B2" s="121" t="s">
        <v>1</v>
      </c>
      <c r="C2" s="1" t="s">
        <v>3</v>
      </c>
      <c r="D2" s="1" t="s">
        <v>2</v>
      </c>
    </row>
    <row r="3" spans="1:11" x14ac:dyDescent="0.25">
      <c r="A3" s="127">
        <f>data!$F$6</f>
        <v>0</v>
      </c>
      <c r="B3" s="121" t="e">
        <f>web!B3</f>
        <v>#DIV/0!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'web (2)'!C36</f>
        <v>#DIV/0!</v>
      </c>
      <c r="D9" s="68">
        <f>A$3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 t="e">
        <f>'data 2'!M28</f>
        <v>#DIV/0!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'web (2)'!C37</f>
        <v>#DIV/0!</v>
      </c>
      <c r="D10" s="119" t="e">
        <f t="shared" ref="D10:D21" si="1">B$3</f>
        <v>#DIV/0!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'web (2)'!C38</f>
        <v>#DIV/0!</v>
      </c>
      <c r="D11" s="119" t="e">
        <f t="shared" si="1"/>
        <v>#DIV/0!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'web (2)'!C39</f>
        <v>#DIV/0!</v>
      </c>
      <c r="D12" s="119" t="e">
        <f>B$3*'web (2)'!D$32</f>
        <v>#DIV/0!</v>
      </c>
      <c r="E12" s="63" t="e">
        <f>IF('web (2)'!H$32&lt;1,C12*D12*'web (2)'!G$32,C12*B$3)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'web (2)'!C40</f>
        <v>#DIV/0!</v>
      </c>
      <c r="D13" s="119" t="e">
        <f>B$3</f>
        <v>#DIV/0!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'web (2)'!C41</f>
        <v>#DIV/0!</v>
      </c>
      <c r="D14" s="119" t="e">
        <f>B$3*'web (2)'!D$32</f>
        <v>#DIV/0!</v>
      </c>
      <c r="E14" s="63" t="e">
        <f>IF('web (2)'!H$32&lt;1,C14*D14*'web (2)'!G$32,C14*B$3)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'web (2)'!C42</f>
        <v>#DIV/0!</v>
      </c>
      <c r="D15" s="119" t="e">
        <f>B$3*'web (2)'!D$32</f>
        <v>#DIV/0!</v>
      </c>
      <c r="E15" s="63" t="e">
        <f>IF('web (2)'!H$32&lt;1,C15*D15*'web (2)'!G$32,C15*B$3)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'web (2)'!C43</f>
        <v>#DIV/0!</v>
      </c>
      <c r="D16" s="119" t="e">
        <f>B$3*'web (2)'!D$32</f>
        <v>#DIV/0!</v>
      </c>
      <c r="E16" s="63" t="e">
        <f>IF('web (2)'!H$32&lt;1,C16*D16*'web (2)'!G$32,C16*B$3)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'web (2)'!C44</f>
        <v>#DIV/0!</v>
      </c>
      <c r="D17" s="119" t="e">
        <f>B$3*'web (2)'!D$32</f>
        <v>#DIV/0!</v>
      </c>
      <c r="E17" s="63" t="e">
        <f>IF('web (2)'!H$32&lt;1,C17*D17*'web (2)'!G$32,C17*B$3)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'web (2)'!C45</f>
        <v>#DIV/0!</v>
      </c>
      <c r="D18" s="119" t="e">
        <f t="shared" si="1"/>
        <v>#DIV/0!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'web (2)'!C46</f>
        <v>#DIV/0!</v>
      </c>
      <c r="D19" s="119" t="e">
        <f t="shared" si="1"/>
        <v>#DIV/0!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'web (2)'!C47</f>
        <v>#DIV/0!</v>
      </c>
      <c r="D20" s="119" t="e">
        <f t="shared" si="1"/>
        <v>#DIV/0!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27">
        <f>web!B48</f>
        <v>8</v>
      </c>
      <c r="C21" s="128" t="e">
        <f>'web (2)'!C48</f>
        <v>#DIV/0!</v>
      </c>
      <c r="D21" s="119" t="e">
        <f t="shared" si="1"/>
        <v>#DIV/0!</v>
      </c>
      <c r="E21" s="129" t="e">
        <f t="shared" si="5"/>
        <v>#DIV/0!</v>
      </c>
      <c r="F21" s="32" t="e">
        <f>'data 2'!J35</f>
        <v>#DIV/0!</v>
      </c>
      <c r="G21" s="7" t="e">
        <f>E21*F24</f>
        <v>#DIV/0!</v>
      </c>
      <c r="H21" s="31" t="e">
        <f>$H$27-F24</f>
        <v>#DIV/0!</v>
      </c>
      <c r="I21" s="129"/>
      <c r="J21" s="42" t="e">
        <f>D21*'data 2'!G$3^3*(('data 2'!C$3+SIN('data 2'!C$3)*COS('data 2'!C$3))/2-SIN('data 2'!C$3)^2/'data 2'!C$3)+E21*H21^2</f>
        <v>#DIV/0!</v>
      </c>
    </row>
    <row r="22" spans="1:11" x14ac:dyDescent="0.25">
      <c r="B22" s="27">
        <f>web!B49</f>
        <v>9</v>
      </c>
      <c r="C22" s="128" t="e">
        <f>'web (2)'!C49</f>
        <v>#DIV/0!</v>
      </c>
      <c r="D22" s="129">
        <f t="shared" ref="D22:D26" si="6">A$3</f>
        <v>0</v>
      </c>
      <c r="E22" s="129" t="e">
        <f t="shared" si="5"/>
        <v>#DIV/0!</v>
      </c>
      <c r="F22" s="32">
        <f>'data 2'!J36</f>
        <v>0</v>
      </c>
      <c r="G22" s="7" t="e">
        <f>E22*F25</f>
        <v>#DIV/0!</v>
      </c>
      <c r="H22" s="31" t="e">
        <f>$H$27-F25</f>
        <v>#DIV/0!</v>
      </c>
      <c r="I22" s="129">
        <f>'data 2'!M36</f>
        <v>0</v>
      </c>
      <c r="J22" s="130" t="e">
        <f t="shared" si="4"/>
        <v>#DIV/0!</v>
      </c>
    </row>
    <row r="23" spans="1:11" x14ac:dyDescent="0.25">
      <c r="B23" s="27">
        <f>web!B50</f>
        <v>10</v>
      </c>
      <c r="C23" s="128" t="e">
        <f>'web (2)'!C50</f>
        <v>#DIV/0!</v>
      </c>
      <c r="D23" s="129">
        <f t="shared" si="6"/>
        <v>0</v>
      </c>
      <c r="E23" s="129" t="e">
        <f t="shared" si="5"/>
        <v>#DIV/0!</v>
      </c>
      <c r="F23" s="32" t="e">
        <f>'data 2'!J37</f>
        <v>#DIV/0!</v>
      </c>
      <c r="G23" s="7" t="e">
        <f t="shared" ref="G23:G26" si="7">E23*F26</f>
        <v>#DIV/0!</v>
      </c>
      <c r="H23" s="31" t="e">
        <f>$H$27-F26</f>
        <v>#DIV/0!</v>
      </c>
      <c r="I23" s="129"/>
      <c r="J23" s="42" t="e">
        <f>D23*'data 2'!E$3^3*(('data 2'!B$3+SIN('data 2'!B$3)*COS('data 2'!B$3))/2-SIN('data 2'!B$3)^2/'data 2'!B$3)+E23*H23^2</f>
        <v>#DIV/0!</v>
      </c>
    </row>
    <row r="24" spans="1:11" x14ac:dyDescent="0.25">
      <c r="B24" s="27">
        <f>web!B51</f>
        <v>11</v>
      </c>
      <c r="C24" s="128" t="e">
        <f>'web (2)'!C51</f>
        <v>#DIV/0!</v>
      </c>
      <c r="D24" s="129">
        <f t="shared" si="6"/>
        <v>0</v>
      </c>
      <c r="E24" s="129" t="e">
        <f t="shared" si="5"/>
        <v>#DIV/0!</v>
      </c>
      <c r="F24" s="31">
        <f>'data 2'!J38</f>
        <v>0</v>
      </c>
      <c r="G24" s="7" t="e">
        <f t="shared" si="7"/>
        <v>#DIV/0!</v>
      </c>
      <c r="H24" s="31" t="e">
        <f t="shared" ref="H24:H26" si="8">$H$27-F27</f>
        <v>#DIV/0!</v>
      </c>
      <c r="I24" s="129" t="e">
        <f>'data 2'!M38</f>
        <v>#DIV/0!</v>
      </c>
      <c r="J24" s="130" t="e">
        <f t="shared" si="4"/>
        <v>#DIV/0!</v>
      </c>
    </row>
    <row r="25" spans="1:11" x14ac:dyDescent="0.25">
      <c r="B25" s="27">
        <f>web!B52</f>
        <v>12</v>
      </c>
      <c r="C25" s="128" t="e">
        <f>'web (2)'!C52</f>
        <v>#DIV/0!</v>
      </c>
      <c r="D25" s="129">
        <f t="shared" si="6"/>
        <v>0</v>
      </c>
      <c r="E25" s="129" t="e">
        <f t="shared" si="5"/>
        <v>#DIV/0!</v>
      </c>
      <c r="F25" s="31" t="e">
        <f>'data 2'!J39</f>
        <v>#DIV/0!</v>
      </c>
      <c r="G25" s="7" t="e">
        <f t="shared" si="7"/>
        <v>#DIV/0!</v>
      </c>
      <c r="H25" s="31" t="e">
        <f t="shared" si="8"/>
        <v>#DIV/0!</v>
      </c>
      <c r="I25" s="129"/>
      <c r="J25" s="42" t="e">
        <f>D25*'data 2'!E$3^3*(('data 2'!B$3+SIN('data 2'!B$3)*COS('data 2'!B$3))/2-SIN('data 2'!B$3)^2/'data 2'!B$3)+E25*H25^2</f>
        <v>#DIV/0!</v>
      </c>
    </row>
    <row r="26" spans="1:11" x14ac:dyDescent="0.25">
      <c r="B26" s="27">
        <f>web!B53</f>
        <v>13</v>
      </c>
      <c r="C26" s="128" t="e">
        <f>'web (2)'!C53</f>
        <v>#DIV/0!</v>
      </c>
      <c r="D26" s="129">
        <f t="shared" si="6"/>
        <v>0</v>
      </c>
      <c r="E26" s="129" t="e">
        <f t="shared" si="5"/>
        <v>#DIV/0!</v>
      </c>
      <c r="F26" s="31">
        <f>'data 2'!J40</f>
        <v>0</v>
      </c>
      <c r="G26" s="7" t="e">
        <f t="shared" si="7"/>
        <v>#DIV/0!</v>
      </c>
      <c r="H26" s="31" t="e">
        <f t="shared" si="8"/>
        <v>#DIV/0!</v>
      </c>
      <c r="I26" s="129">
        <f>'data 2'!M40</f>
        <v>0</v>
      </c>
      <c r="J26" s="130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data!I6-'moment (2)'!H27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2'!K3-'moment (2)'!H27)/'moment (2)'!H27)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data</vt:lpstr>
      <vt:lpstr>data 2</vt:lpstr>
      <vt:lpstr>flange</vt:lpstr>
      <vt:lpstr>web</vt:lpstr>
      <vt:lpstr>moment</vt:lpstr>
      <vt:lpstr>flange (2)</vt:lpstr>
      <vt:lpstr>web (2)</vt:lpstr>
      <vt:lpstr>moment (2)</vt:lpstr>
      <vt:lpstr>flange (3)</vt:lpstr>
      <vt:lpstr>web (3)</vt:lpstr>
      <vt:lpstr>moment (3)</vt:lpstr>
      <vt:lpstr>Feuil1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dcterms:created xsi:type="dcterms:W3CDTF">2016-02-03T16:34:04Z</dcterms:created>
  <dcterms:modified xsi:type="dcterms:W3CDTF">2016-11-30T09:55:04Z</dcterms:modified>
</cp:coreProperties>
</file>