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workbookProtection workbookPassword="DDF1" lockStructure="1"/>
  <bookViews>
    <workbookView xWindow="1425" yWindow="225" windowWidth="20730" windowHeight="11760" tabRatio="739"/>
  </bookViews>
  <sheets>
    <sheet name="data" sheetId="1" r:id="rId1"/>
    <sheet name="data 2" sheetId="2" state="hidden" r:id="rId2"/>
    <sheet name="flange" sheetId="3" state="hidden" r:id="rId3"/>
    <sheet name="stiffner" sheetId="4" state="hidden" r:id="rId4"/>
    <sheet name="flangebis" sheetId="5" state="hidden" r:id="rId5"/>
    <sheet name="stiffnerbis" sheetId="6" state="hidden" r:id="rId6"/>
    <sheet name="web" sheetId="7" state="hidden" r:id="rId7"/>
    <sheet name="moment" sheetId="8" state="hidden" r:id="rId8"/>
    <sheet name="flange (2)" sheetId="9" state="hidden" r:id="rId9"/>
    <sheet name="stiffner (2)" sheetId="10" state="hidden" r:id="rId10"/>
    <sheet name="flangebis (2)" sheetId="11" state="hidden" r:id="rId11"/>
    <sheet name="stiffnerbis (2)" sheetId="12" state="hidden" r:id="rId12"/>
    <sheet name="web (2)" sheetId="13" state="hidden" r:id="rId13"/>
    <sheet name="moment (2)" sheetId="14" state="hidden" r:id="rId14"/>
    <sheet name="flange (3)" sheetId="15" state="hidden" r:id="rId15"/>
    <sheet name="stiffner (3)" sheetId="16" state="hidden" r:id="rId16"/>
    <sheet name="flangebis (3)" sheetId="17" state="hidden" r:id="rId17"/>
    <sheet name="stiffnerbis (3)" sheetId="18" state="hidden" r:id="rId18"/>
    <sheet name="web (3)" sheetId="19" state="hidden" r:id="rId19"/>
    <sheet name="moment (3)" sheetId="20" state="hidden" r:id="rId20"/>
    <sheet name="flange (4)" sheetId="22" state="hidden" r:id="rId21"/>
    <sheet name="stiffner (4)" sheetId="23" state="hidden" r:id="rId22"/>
    <sheet name="flangebis (4)" sheetId="24" state="hidden" r:id="rId23"/>
    <sheet name="stiffnerbis (4)" sheetId="25" state="hidden" r:id="rId24"/>
    <sheet name="web (4)" sheetId="26" state="hidden" r:id="rId25"/>
    <sheet name="moment (4)" sheetId="27" state="hidden" r:id="rId26"/>
    <sheet name="Feuil1" sheetId="21" state="hidden" r:id="rId27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2" l="1"/>
  <c r="G3" i="2"/>
  <c r="H3" i="2"/>
  <c r="F3" i="2"/>
  <c r="E3" i="2"/>
  <c r="D35" i="1"/>
  <c r="D33" i="1"/>
  <c r="D31" i="1"/>
  <c r="C15" i="1"/>
  <c r="C14" i="1"/>
  <c r="C13" i="1"/>
  <c r="C12" i="1"/>
  <c r="C11" i="1"/>
  <c r="C10" i="1"/>
  <c r="C9" i="1"/>
  <c r="C7" i="2"/>
  <c r="N6" i="1"/>
  <c r="B3" i="2"/>
  <c r="C16" i="2"/>
  <c r="C17" i="2"/>
  <c r="C30" i="2"/>
  <c r="O6" i="1"/>
  <c r="C3" i="2"/>
  <c r="F22" i="2"/>
  <c r="J39" i="2"/>
  <c r="F19" i="2"/>
  <c r="F20" i="2"/>
  <c r="C12" i="2"/>
  <c r="C40" i="2"/>
  <c r="F21" i="2"/>
  <c r="C39" i="2"/>
  <c r="P6" i="1"/>
  <c r="D3" i="2"/>
  <c r="I16" i="2"/>
  <c r="I17" i="2"/>
  <c r="C11" i="2"/>
  <c r="C38" i="2"/>
  <c r="I24" i="2"/>
  <c r="C37" i="2"/>
  <c r="C10" i="2"/>
  <c r="C36" i="2"/>
  <c r="C35" i="2"/>
  <c r="F16" i="2"/>
  <c r="F17" i="2"/>
  <c r="C9" i="2"/>
  <c r="C34" i="2"/>
  <c r="F24" i="2"/>
  <c r="C33" i="2"/>
  <c r="C8" i="2"/>
  <c r="C32" i="2"/>
  <c r="I4" i="2"/>
  <c r="I38" i="2"/>
  <c r="D11" i="2"/>
  <c r="J38" i="2"/>
  <c r="K38" i="2"/>
  <c r="I39" i="2"/>
  <c r="K39" i="2"/>
  <c r="I40" i="2"/>
  <c r="D12" i="2"/>
  <c r="J40" i="2"/>
  <c r="K40" i="2"/>
  <c r="I32" i="2"/>
  <c r="K3" i="2"/>
  <c r="J32" i="2"/>
  <c r="K32" i="2"/>
  <c r="I33" i="2"/>
  <c r="F25" i="2"/>
  <c r="J33" i="2"/>
  <c r="K33" i="2"/>
  <c r="I34" i="2"/>
  <c r="D9" i="2"/>
  <c r="J34" i="2"/>
  <c r="K34" i="2"/>
  <c r="C6" i="2"/>
  <c r="C28" i="2"/>
  <c r="I28" i="2"/>
  <c r="D7" i="2"/>
  <c r="J28" i="2"/>
  <c r="K28" i="2"/>
  <c r="C24" i="2"/>
  <c r="C29" i="2"/>
  <c r="I29" i="2"/>
  <c r="C25" i="2"/>
  <c r="J29" i="2"/>
  <c r="K29" i="2"/>
  <c r="I30" i="2"/>
  <c r="J30" i="2"/>
  <c r="K30" i="2"/>
  <c r="C31" i="2"/>
  <c r="I31" i="2"/>
  <c r="J31" i="2"/>
  <c r="K31" i="2"/>
  <c r="I35" i="2"/>
  <c r="D10" i="2"/>
  <c r="J35" i="2"/>
  <c r="K35" i="2"/>
  <c r="I36" i="2"/>
  <c r="J36" i="2"/>
  <c r="K36" i="2"/>
  <c r="I37" i="2"/>
  <c r="J37" i="2"/>
  <c r="K37" i="2"/>
  <c r="K43" i="2"/>
  <c r="I43" i="2"/>
  <c r="L43" i="2"/>
  <c r="L39" i="2"/>
  <c r="N39" i="2"/>
  <c r="L37" i="2"/>
  <c r="N37" i="2"/>
  <c r="L35" i="2"/>
  <c r="N35" i="2"/>
  <c r="L33" i="2"/>
  <c r="N33" i="2"/>
  <c r="L31" i="2"/>
  <c r="N31" i="2"/>
  <c r="L29" i="2"/>
  <c r="N29" i="2"/>
  <c r="F2" i="2"/>
  <c r="E3" i="21"/>
  <c r="F3" i="21"/>
  <c r="H3" i="21"/>
  <c r="B7" i="21"/>
  <c r="I3" i="21"/>
  <c r="J3" i="21"/>
  <c r="E12" i="21"/>
  <c r="C3" i="21"/>
  <c r="F12" i="21"/>
  <c r="H12" i="21"/>
  <c r="I12" i="21"/>
  <c r="J12" i="21"/>
  <c r="K12" i="21"/>
  <c r="G41" i="1"/>
  <c r="D3" i="27"/>
  <c r="L3" i="2"/>
  <c r="B37" i="25"/>
  <c r="C5" i="3"/>
  <c r="D3" i="4"/>
  <c r="C6" i="4"/>
  <c r="D6" i="4"/>
  <c r="H6" i="4"/>
  <c r="F6" i="4"/>
  <c r="C7" i="4"/>
  <c r="D7" i="4"/>
  <c r="E7" i="4"/>
  <c r="F7" i="4"/>
  <c r="C8" i="4"/>
  <c r="D8" i="4"/>
  <c r="E8" i="4"/>
  <c r="F8" i="4"/>
  <c r="C9" i="4"/>
  <c r="D9" i="4"/>
  <c r="E9" i="4"/>
  <c r="F9" i="4"/>
  <c r="C10" i="4"/>
  <c r="D10" i="4"/>
  <c r="E10" i="4"/>
  <c r="F10" i="4"/>
  <c r="C11" i="4"/>
  <c r="D11" i="4"/>
  <c r="E11" i="4"/>
  <c r="F11" i="4"/>
  <c r="C12" i="4"/>
  <c r="D12" i="4"/>
  <c r="E12" i="4"/>
  <c r="F12" i="4"/>
  <c r="C13" i="4"/>
  <c r="D13" i="4"/>
  <c r="E13" i="4"/>
  <c r="F13" i="4"/>
  <c r="C14" i="4"/>
  <c r="D14" i="4"/>
  <c r="E14" i="4"/>
  <c r="F14" i="4"/>
  <c r="F15" i="4"/>
  <c r="D15" i="4"/>
  <c r="G15" i="4"/>
  <c r="G6" i="4"/>
  <c r="I6" i="4"/>
  <c r="I6" i="25"/>
  <c r="G7" i="4"/>
  <c r="I7" i="4"/>
  <c r="I7" i="25"/>
  <c r="M30" i="2"/>
  <c r="H8" i="4"/>
  <c r="G8" i="4"/>
  <c r="I8" i="4"/>
  <c r="I8" i="25"/>
  <c r="G9" i="4"/>
  <c r="I9" i="4"/>
  <c r="I9" i="25"/>
  <c r="H10" i="4"/>
  <c r="G10" i="4"/>
  <c r="I10" i="4"/>
  <c r="I10" i="25"/>
  <c r="I11" i="4"/>
  <c r="I11" i="25"/>
  <c r="H12" i="4"/>
  <c r="G12" i="4"/>
  <c r="I12" i="4"/>
  <c r="I12" i="25"/>
  <c r="G13" i="4"/>
  <c r="I13" i="4"/>
  <c r="I13" i="25"/>
  <c r="H14" i="4"/>
  <c r="G14" i="4"/>
  <c r="I14" i="4"/>
  <c r="I14" i="25"/>
  <c r="I15" i="25"/>
  <c r="B5" i="3"/>
  <c r="C3" i="4"/>
  <c r="C3" i="25"/>
  <c r="B3" i="4"/>
  <c r="B3" i="25"/>
  <c r="D3" i="25"/>
  <c r="F31" i="25"/>
  <c r="N3" i="2"/>
  <c r="E31" i="25"/>
  <c r="G31" i="25"/>
  <c r="B31" i="25"/>
  <c r="H31" i="25"/>
  <c r="I31" i="25"/>
  <c r="M3" i="2"/>
  <c r="E3" i="4"/>
  <c r="E3" i="25"/>
  <c r="B5" i="24"/>
  <c r="C5" i="24"/>
  <c r="D5" i="3"/>
  <c r="D5" i="24"/>
  <c r="H5" i="24"/>
  <c r="I5" i="24"/>
  <c r="B37" i="23"/>
  <c r="D3" i="23"/>
  <c r="C6" i="23"/>
  <c r="D6" i="23"/>
  <c r="H6" i="23"/>
  <c r="F6" i="23"/>
  <c r="C7" i="23"/>
  <c r="D7" i="23"/>
  <c r="E7" i="23"/>
  <c r="F7" i="23"/>
  <c r="C8" i="23"/>
  <c r="D8" i="23"/>
  <c r="E8" i="23"/>
  <c r="F8" i="23"/>
  <c r="C9" i="23"/>
  <c r="D9" i="23"/>
  <c r="E9" i="23"/>
  <c r="F9" i="23"/>
  <c r="C10" i="23"/>
  <c r="D10" i="23"/>
  <c r="E10" i="23"/>
  <c r="F10" i="23"/>
  <c r="C11" i="23"/>
  <c r="D11" i="23"/>
  <c r="E11" i="23"/>
  <c r="F11" i="23"/>
  <c r="C12" i="23"/>
  <c r="D12" i="23"/>
  <c r="E12" i="23"/>
  <c r="F12" i="23"/>
  <c r="C13" i="23"/>
  <c r="D13" i="23"/>
  <c r="E13" i="23"/>
  <c r="F13" i="23"/>
  <c r="C14" i="23"/>
  <c r="D14" i="23"/>
  <c r="E14" i="23"/>
  <c r="F14" i="23"/>
  <c r="F15" i="23"/>
  <c r="D15" i="23"/>
  <c r="G15" i="23"/>
  <c r="G6" i="23"/>
  <c r="I6" i="23"/>
  <c r="G7" i="23"/>
  <c r="I7" i="23"/>
  <c r="H8" i="23"/>
  <c r="G8" i="23"/>
  <c r="I8" i="23"/>
  <c r="G9" i="23"/>
  <c r="I9" i="23"/>
  <c r="H10" i="23"/>
  <c r="G10" i="23"/>
  <c r="I10" i="23"/>
  <c r="I11" i="23"/>
  <c r="H12" i="23"/>
  <c r="G12" i="23"/>
  <c r="I12" i="23"/>
  <c r="G13" i="23"/>
  <c r="I13" i="23"/>
  <c r="H14" i="23"/>
  <c r="G14" i="23"/>
  <c r="I14" i="23"/>
  <c r="I15" i="23"/>
  <c r="C3" i="23"/>
  <c r="B3" i="23"/>
  <c r="F31" i="23"/>
  <c r="E31" i="23"/>
  <c r="G31" i="23"/>
  <c r="B31" i="23"/>
  <c r="H31" i="23"/>
  <c r="I31" i="23"/>
  <c r="E3" i="23"/>
  <c r="B5" i="22"/>
  <c r="C5" i="22"/>
  <c r="D5" i="22"/>
  <c r="H5" i="22"/>
  <c r="I5" i="22"/>
  <c r="B37" i="18"/>
  <c r="I6" i="18"/>
  <c r="I7" i="18"/>
  <c r="I8" i="18"/>
  <c r="I9" i="18"/>
  <c r="I10" i="18"/>
  <c r="I11" i="18"/>
  <c r="I12" i="18"/>
  <c r="I13" i="18"/>
  <c r="I14" i="18"/>
  <c r="I15" i="18"/>
  <c r="C3" i="18"/>
  <c r="B3" i="18"/>
  <c r="D3" i="18"/>
  <c r="F31" i="18"/>
  <c r="E31" i="18"/>
  <c r="G31" i="18"/>
  <c r="B31" i="18"/>
  <c r="H31" i="18"/>
  <c r="I31" i="18"/>
  <c r="E3" i="18"/>
  <c r="B5" i="17"/>
  <c r="C5" i="17"/>
  <c r="D5" i="17"/>
  <c r="H5" i="17"/>
  <c r="I5" i="17"/>
  <c r="B37" i="16"/>
  <c r="D3" i="16"/>
  <c r="C6" i="16"/>
  <c r="D6" i="16"/>
  <c r="H6" i="16"/>
  <c r="F6" i="16"/>
  <c r="C7" i="16"/>
  <c r="D7" i="16"/>
  <c r="E7" i="16"/>
  <c r="F7" i="16"/>
  <c r="C8" i="16"/>
  <c r="D8" i="16"/>
  <c r="E8" i="16"/>
  <c r="F8" i="16"/>
  <c r="C9" i="16"/>
  <c r="D9" i="16"/>
  <c r="E9" i="16"/>
  <c r="F9" i="16"/>
  <c r="C10" i="16"/>
  <c r="D10" i="16"/>
  <c r="E10" i="16"/>
  <c r="F10" i="16"/>
  <c r="C11" i="16"/>
  <c r="D11" i="16"/>
  <c r="E11" i="16"/>
  <c r="F11" i="16"/>
  <c r="C12" i="16"/>
  <c r="D12" i="16"/>
  <c r="E12" i="16"/>
  <c r="F12" i="16"/>
  <c r="C13" i="16"/>
  <c r="D13" i="16"/>
  <c r="E13" i="16"/>
  <c r="F13" i="16"/>
  <c r="C14" i="16"/>
  <c r="D14" i="16"/>
  <c r="E14" i="16"/>
  <c r="F14" i="16"/>
  <c r="F15" i="16"/>
  <c r="D15" i="16"/>
  <c r="G15" i="16"/>
  <c r="G6" i="16"/>
  <c r="I6" i="16"/>
  <c r="G7" i="16"/>
  <c r="I7" i="16"/>
  <c r="H8" i="16"/>
  <c r="G8" i="16"/>
  <c r="I8" i="16"/>
  <c r="G9" i="16"/>
  <c r="I9" i="16"/>
  <c r="H10" i="16"/>
  <c r="G10" i="16"/>
  <c r="I10" i="16"/>
  <c r="I11" i="16"/>
  <c r="H12" i="16"/>
  <c r="G12" i="16"/>
  <c r="I12" i="16"/>
  <c r="G13" i="16"/>
  <c r="I13" i="16"/>
  <c r="H14" i="16"/>
  <c r="G14" i="16"/>
  <c r="I14" i="16"/>
  <c r="I15" i="16"/>
  <c r="C3" i="16"/>
  <c r="B3" i="16"/>
  <c r="F31" i="16"/>
  <c r="E31" i="16"/>
  <c r="G31" i="16"/>
  <c r="B31" i="16"/>
  <c r="H31" i="16"/>
  <c r="I31" i="16"/>
  <c r="E3" i="16"/>
  <c r="B5" i="15"/>
  <c r="C5" i="15"/>
  <c r="D5" i="15"/>
  <c r="H5" i="15"/>
  <c r="I5" i="15"/>
  <c r="B37" i="12"/>
  <c r="I6" i="12"/>
  <c r="I7" i="12"/>
  <c r="I8" i="12"/>
  <c r="I9" i="12"/>
  <c r="I10" i="12"/>
  <c r="I11" i="12"/>
  <c r="I12" i="12"/>
  <c r="I13" i="12"/>
  <c r="I14" i="12"/>
  <c r="I15" i="12"/>
  <c r="C3" i="12"/>
  <c r="B3" i="12"/>
  <c r="D3" i="12"/>
  <c r="F31" i="12"/>
  <c r="E31" i="12"/>
  <c r="G31" i="12"/>
  <c r="B31" i="12"/>
  <c r="H31" i="12"/>
  <c r="I31" i="12"/>
  <c r="E3" i="12"/>
  <c r="B5" i="11"/>
  <c r="C5" i="11"/>
  <c r="D5" i="11"/>
  <c r="H5" i="11"/>
  <c r="I5" i="11"/>
  <c r="B37" i="10"/>
  <c r="D3" i="10"/>
  <c r="C6" i="10"/>
  <c r="D6" i="10"/>
  <c r="H6" i="10"/>
  <c r="F6" i="10"/>
  <c r="C7" i="10"/>
  <c r="D7" i="10"/>
  <c r="E7" i="10"/>
  <c r="F7" i="10"/>
  <c r="C8" i="10"/>
  <c r="D8" i="10"/>
  <c r="E8" i="10"/>
  <c r="F8" i="10"/>
  <c r="C9" i="10"/>
  <c r="D9" i="10"/>
  <c r="E9" i="10"/>
  <c r="F9" i="10"/>
  <c r="C10" i="10"/>
  <c r="D10" i="10"/>
  <c r="E10" i="10"/>
  <c r="F10" i="10"/>
  <c r="C11" i="10"/>
  <c r="D11" i="10"/>
  <c r="E11" i="10"/>
  <c r="F11" i="10"/>
  <c r="C12" i="10"/>
  <c r="D12" i="10"/>
  <c r="E12" i="10"/>
  <c r="F12" i="10"/>
  <c r="C13" i="10"/>
  <c r="D13" i="10"/>
  <c r="E13" i="10"/>
  <c r="F13" i="10"/>
  <c r="C14" i="10"/>
  <c r="D14" i="10"/>
  <c r="E14" i="10"/>
  <c r="F14" i="10"/>
  <c r="F15" i="10"/>
  <c r="D15" i="10"/>
  <c r="G15" i="10"/>
  <c r="G6" i="10"/>
  <c r="I6" i="10"/>
  <c r="G7" i="10"/>
  <c r="I7" i="10"/>
  <c r="H8" i="10"/>
  <c r="G8" i="10"/>
  <c r="I8" i="10"/>
  <c r="G9" i="10"/>
  <c r="I9" i="10"/>
  <c r="H10" i="10"/>
  <c r="G10" i="10"/>
  <c r="I10" i="10"/>
  <c r="I11" i="10"/>
  <c r="H12" i="10"/>
  <c r="G12" i="10"/>
  <c r="I12" i="10"/>
  <c r="G13" i="10"/>
  <c r="I13" i="10"/>
  <c r="H14" i="10"/>
  <c r="G14" i="10"/>
  <c r="I14" i="10"/>
  <c r="I15" i="10"/>
  <c r="C3" i="10"/>
  <c r="B3" i="10"/>
  <c r="F31" i="10"/>
  <c r="E31" i="10"/>
  <c r="G31" i="10"/>
  <c r="B31" i="10"/>
  <c r="H31" i="10"/>
  <c r="I31" i="10"/>
  <c r="E3" i="10"/>
  <c r="B5" i="9"/>
  <c r="C5" i="9"/>
  <c r="D5" i="9"/>
  <c r="H5" i="9"/>
  <c r="I5" i="9"/>
  <c r="B37" i="6"/>
  <c r="I6" i="6"/>
  <c r="I7" i="6"/>
  <c r="I8" i="6"/>
  <c r="I9" i="6"/>
  <c r="I10" i="6"/>
  <c r="I11" i="6"/>
  <c r="I12" i="6"/>
  <c r="I13" i="6"/>
  <c r="I14" i="6"/>
  <c r="I15" i="6"/>
  <c r="C3" i="6"/>
  <c r="B3" i="6"/>
  <c r="D3" i="6"/>
  <c r="F31" i="6"/>
  <c r="E31" i="6"/>
  <c r="G31" i="6"/>
  <c r="B31" i="6"/>
  <c r="H31" i="6"/>
  <c r="I31" i="6"/>
  <c r="E3" i="6"/>
  <c r="B5" i="5"/>
  <c r="C5" i="5"/>
  <c r="D5" i="5"/>
  <c r="H5" i="5"/>
  <c r="I5" i="5"/>
  <c r="B37" i="4"/>
  <c r="I15" i="4"/>
  <c r="F31" i="4"/>
  <c r="E31" i="4"/>
  <c r="G31" i="4"/>
  <c r="B31" i="4"/>
  <c r="H31" i="4"/>
  <c r="I31" i="4"/>
  <c r="H5" i="3"/>
  <c r="I5" i="3"/>
  <c r="J5" i="3"/>
  <c r="L5" i="3"/>
  <c r="M5" i="3"/>
  <c r="N5" i="3"/>
  <c r="O5" i="3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D27" i="4"/>
  <c r="B34" i="4"/>
  <c r="C37" i="4"/>
  <c r="E37" i="4"/>
  <c r="B40" i="4"/>
  <c r="J5" i="5"/>
  <c r="L5" i="5"/>
  <c r="M5" i="5"/>
  <c r="N5" i="5"/>
  <c r="O5" i="5"/>
  <c r="C18" i="6"/>
  <c r="D18" i="6"/>
  <c r="C7" i="6"/>
  <c r="C19" i="6"/>
  <c r="D19" i="6"/>
  <c r="C8" i="6"/>
  <c r="C20" i="6"/>
  <c r="D20" i="6"/>
  <c r="C9" i="6"/>
  <c r="C21" i="6"/>
  <c r="D21" i="6"/>
  <c r="C10" i="6"/>
  <c r="C22" i="6"/>
  <c r="D22" i="6"/>
  <c r="C11" i="6"/>
  <c r="C23" i="6"/>
  <c r="D23" i="6"/>
  <c r="C12" i="6"/>
  <c r="C24" i="6"/>
  <c r="D24" i="6"/>
  <c r="C13" i="6"/>
  <c r="C25" i="6"/>
  <c r="D25" i="6"/>
  <c r="C26" i="6"/>
  <c r="D26" i="6"/>
  <c r="D27" i="6"/>
  <c r="B34" i="6"/>
  <c r="C37" i="6"/>
  <c r="E37" i="6"/>
  <c r="B40" i="6"/>
  <c r="E40" i="6"/>
  <c r="G40" i="6"/>
  <c r="C11" i="7"/>
  <c r="C9" i="8"/>
  <c r="B3" i="8"/>
  <c r="D9" i="8"/>
  <c r="E9" i="8"/>
  <c r="F9" i="8"/>
  <c r="G9" i="8"/>
  <c r="C12" i="7"/>
  <c r="C10" i="8"/>
  <c r="D10" i="8"/>
  <c r="E10" i="8"/>
  <c r="F10" i="8"/>
  <c r="G10" i="8"/>
  <c r="C13" i="7"/>
  <c r="C11" i="8"/>
  <c r="D11" i="8"/>
  <c r="E11" i="8"/>
  <c r="F11" i="8"/>
  <c r="G11" i="8"/>
  <c r="C14" i="7"/>
  <c r="C12" i="8"/>
  <c r="D12" i="8"/>
  <c r="E12" i="8"/>
  <c r="F12" i="8"/>
  <c r="G12" i="8"/>
  <c r="C15" i="7"/>
  <c r="C13" i="8"/>
  <c r="D13" i="8"/>
  <c r="E13" i="8"/>
  <c r="F13" i="8"/>
  <c r="G13" i="8"/>
  <c r="C16" i="7"/>
  <c r="C14" i="8"/>
  <c r="D14" i="8"/>
  <c r="E14" i="8"/>
  <c r="F14" i="8"/>
  <c r="G14" i="8"/>
  <c r="C17" i="7"/>
  <c r="C15" i="8"/>
  <c r="D15" i="8"/>
  <c r="E15" i="8"/>
  <c r="F15" i="8"/>
  <c r="G15" i="8"/>
  <c r="C18" i="7"/>
  <c r="C16" i="8"/>
  <c r="A3" i="8"/>
  <c r="D16" i="8"/>
  <c r="E16" i="8"/>
  <c r="F16" i="8"/>
  <c r="G16" i="8"/>
  <c r="G3" i="7"/>
  <c r="H3" i="7"/>
  <c r="B3" i="7"/>
  <c r="C3" i="7"/>
  <c r="D3" i="7"/>
  <c r="F3" i="7"/>
  <c r="E3" i="7"/>
  <c r="B6" i="7"/>
  <c r="C6" i="7"/>
  <c r="D6" i="7"/>
  <c r="C19" i="7"/>
  <c r="C17" i="8"/>
  <c r="D17" i="8"/>
  <c r="E17" i="8"/>
  <c r="F17" i="8"/>
  <c r="G17" i="8"/>
  <c r="C20" i="7"/>
  <c r="C18" i="8"/>
  <c r="D18" i="8"/>
  <c r="E18" i="8"/>
  <c r="F18" i="8"/>
  <c r="G18" i="8"/>
  <c r="C21" i="7"/>
  <c r="C19" i="8"/>
  <c r="D19" i="8"/>
  <c r="E19" i="8"/>
  <c r="F19" i="8"/>
  <c r="G19" i="8"/>
  <c r="C22" i="7"/>
  <c r="C20" i="8"/>
  <c r="D20" i="8"/>
  <c r="E20" i="8"/>
  <c r="F20" i="8"/>
  <c r="G20" i="8"/>
  <c r="C23" i="7"/>
  <c r="C21" i="8"/>
  <c r="D21" i="8"/>
  <c r="E21" i="8"/>
  <c r="F21" i="8"/>
  <c r="G21" i="8"/>
  <c r="C24" i="7"/>
  <c r="C22" i="8"/>
  <c r="D22" i="8"/>
  <c r="E22" i="8"/>
  <c r="F22" i="8"/>
  <c r="G22" i="8"/>
  <c r="C25" i="7"/>
  <c r="C23" i="8"/>
  <c r="D23" i="8"/>
  <c r="E23" i="8"/>
  <c r="F23" i="8"/>
  <c r="G23" i="8"/>
  <c r="G27" i="8"/>
  <c r="E27" i="8"/>
  <c r="H27" i="8"/>
  <c r="J5" i="9"/>
  <c r="L5" i="9"/>
  <c r="M5" i="9"/>
  <c r="N5" i="9"/>
  <c r="O5" i="9"/>
  <c r="C18" i="10"/>
  <c r="D18" i="10"/>
  <c r="C19" i="10"/>
  <c r="D19" i="10"/>
  <c r="C20" i="10"/>
  <c r="D20" i="10"/>
  <c r="C21" i="10"/>
  <c r="D21" i="10"/>
  <c r="C22" i="10"/>
  <c r="D22" i="10"/>
  <c r="C23" i="10"/>
  <c r="D23" i="10"/>
  <c r="C24" i="10"/>
  <c r="D24" i="10"/>
  <c r="C25" i="10"/>
  <c r="D25" i="10"/>
  <c r="C26" i="10"/>
  <c r="D26" i="10"/>
  <c r="D27" i="10"/>
  <c r="B34" i="10"/>
  <c r="C37" i="10"/>
  <c r="E37" i="10"/>
  <c r="B40" i="10"/>
  <c r="J5" i="11"/>
  <c r="L5" i="11"/>
  <c r="M5" i="11"/>
  <c r="N5" i="11"/>
  <c r="O5" i="11"/>
  <c r="C18" i="12"/>
  <c r="D18" i="12"/>
  <c r="C7" i="12"/>
  <c r="C19" i="12"/>
  <c r="D19" i="12"/>
  <c r="C8" i="12"/>
  <c r="C20" i="12"/>
  <c r="D20" i="12"/>
  <c r="C9" i="12"/>
  <c r="C21" i="12"/>
  <c r="D21" i="12"/>
  <c r="C10" i="12"/>
  <c r="C22" i="12"/>
  <c r="D22" i="12"/>
  <c r="C11" i="12"/>
  <c r="C23" i="12"/>
  <c r="D23" i="12"/>
  <c r="C12" i="12"/>
  <c r="C24" i="12"/>
  <c r="D24" i="12"/>
  <c r="C13" i="12"/>
  <c r="C25" i="12"/>
  <c r="D25" i="12"/>
  <c r="C26" i="12"/>
  <c r="D26" i="12"/>
  <c r="D27" i="12"/>
  <c r="B34" i="12"/>
  <c r="C37" i="12"/>
  <c r="E37" i="12"/>
  <c r="B40" i="12"/>
  <c r="E40" i="12"/>
  <c r="G40" i="12"/>
  <c r="C9" i="14"/>
  <c r="B3" i="14"/>
  <c r="D9" i="14"/>
  <c r="E9" i="14"/>
  <c r="F9" i="14"/>
  <c r="G9" i="14"/>
  <c r="C10" i="14"/>
  <c r="D10" i="14"/>
  <c r="E10" i="14"/>
  <c r="F10" i="14"/>
  <c r="G10" i="14"/>
  <c r="C11" i="14"/>
  <c r="D11" i="14"/>
  <c r="E11" i="14"/>
  <c r="F11" i="14"/>
  <c r="G11" i="14"/>
  <c r="C12" i="14"/>
  <c r="D12" i="14"/>
  <c r="E12" i="14"/>
  <c r="F12" i="14"/>
  <c r="G12" i="14"/>
  <c r="C13" i="14"/>
  <c r="D13" i="14"/>
  <c r="E13" i="14"/>
  <c r="F13" i="14"/>
  <c r="G13" i="14"/>
  <c r="C14" i="14"/>
  <c r="D14" i="14"/>
  <c r="E14" i="14"/>
  <c r="F14" i="14"/>
  <c r="G14" i="14"/>
  <c r="C15" i="14"/>
  <c r="D15" i="14"/>
  <c r="E15" i="14"/>
  <c r="F15" i="14"/>
  <c r="G15" i="14"/>
  <c r="C16" i="14"/>
  <c r="A3" i="14"/>
  <c r="D16" i="14"/>
  <c r="E16" i="14"/>
  <c r="F16" i="14"/>
  <c r="G16" i="14"/>
  <c r="G3" i="13"/>
  <c r="H3" i="13"/>
  <c r="B3" i="13"/>
  <c r="C3" i="13"/>
  <c r="F3" i="13"/>
  <c r="E3" i="13"/>
  <c r="B6" i="13"/>
  <c r="C6" i="13"/>
  <c r="D6" i="13"/>
  <c r="C19" i="13"/>
  <c r="C17" i="14"/>
  <c r="D17" i="14"/>
  <c r="E17" i="14"/>
  <c r="F17" i="14"/>
  <c r="G17" i="14"/>
  <c r="C18" i="14"/>
  <c r="D18" i="14"/>
  <c r="E18" i="14"/>
  <c r="F18" i="14"/>
  <c r="G18" i="14"/>
  <c r="C19" i="14"/>
  <c r="D19" i="14"/>
  <c r="E19" i="14"/>
  <c r="F19" i="14"/>
  <c r="G19" i="14"/>
  <c r="C20" i="14"/>
  <c r="D20" i="14"/>
  <c r="E20" i="14"/>
  <c r="F20" i="14"/>
  <c r="G20" i="14"/>
  <c r="C21" i="14"/>
  <c r="D21" i="14"/>
  <c r="E21" i="14"/>
  <c r="F21" i="14"/>
  <c r="G21" i="14"/>
  <c r="C22" i="14"/>
  <c r="D22" i="14"/>
  <c r="E22" i="14"/>
  <c r="F22" i="14"/>
  <c r="G22" i="14"/>
  <c r="C23" i="14"/>
  <c r="D23" i="14"/>
  <c r="E23" i="14"/>
  <c r="F23" i="14"/>
  <c r="G23" i="14"/>
  <c r="G27" i="14"/>
  <c r="E27" i="14"/>
  <c r="H27" i="14"/>
  <c r="J5" i="15"/>
  <c r="L5" i="15"/>
  <c r="M5" i="15"/>
  <c r="N5" i="15"/>
  <c r="O5" i="15"/>
  <c r="C18" i="16"/>
  <c r="D18" i="16"/>
  <c r="C19" i="16"/>
  <c r="D19" i="16"/>
  <c r="C20" i="16"/>
  <c r="D20" i="16"/>
  <c r="C21" i="16"/>
  <c r="D21" i="16"/>
  <c r="C22" i="16"/>
  <c r="D22" i="16"/>
  <c r="C23" i="16"/>
  <c r="D23" i="16"/>
  <c r="C24" i="16"/>
  <c r="D24" i="16"/>
  <c r="C25" i="16"/>
  <c r="D25" i="16"/>
  <c r="C26" i="16"/>
  <c r="D26" i="16"/>
  <c r="D27" i="16"/>
  <c r="B34" i="16"/>
  <c r="C37" i="16"/>
  <c r="E37" i="16"/>
  <c r="B40" i="16"/>
  <c r="J5" i="17"/>
  <c r="L5" i="17"/>
  <c r="M5" i="17"/>
  <c r="N5" i="17"/>
  <c r="O5" i="17"/>
  <c r="C18" i="18"/>
  <c r="D18" i="18"/>
  <c r="C7" i="18"/>
  <c r="C19" i="18"/>
  <c r="D19" i="18"/>
  <c r="C8" i="18"/>
  <c r="C20" i="18"/>
  <c r="D20" i="18"/>
  <c r="C9" i="18"/>
  <c r="C21" i="18"/>
  <c r="D21" i="18"/>
  <c r="C10" i="18"/>
  <c r="C22" i="18"/>
  <c r="D22" i="18"/>
  <c r="C11" i="18"/>
  <c r="C23" i="18"/>
  <c r="D23" i="18"/>
  <c r="C12" i="18"/>
  <c r="C24" i="18"/>
  <c r="D24" i="18"/>
  <c r="C13" i="18"/>
  <c r="C25" i="18"/>
  <c r="D25" i="18"/>
  <c r="C26" i="18"/>
  <c r="D26" i="18"/>
  <c r="D27" i="18"/>
  <c r="B34" i="18"/>
  <c r="C37" i="18"/>
  <c r="E37" i="18"/>
  <c r="B40" i="18"/>
  <c r="E40" i="18"/>
  <c r="G40" i="18"/>
  <c r="C9" i="20"/>
  <c r="B3" i="20"/>
  <c r="D9" i="20"/>
  <c r="E9" i="20"/>
  <c r="F9" i="20"/>
  <c r="G9" i="20"/>
  <c r="C10" i="20"/>
  <c r="D10" i="20"/>
  <c r="E10" i="20"/>
  <c r="F10" i="20"/>
  <c r="G10" i="20"/>
  <c r="C11" i="20"/>
  <c r="D11" i="20"/>
  <c r="E11" i="20"/>
  <c r="F11" i="20"/>
  <c r="G11" i="20"/>
  <c r="C12" i="20"/>
  <c r="D12" i="20"/>
  <c r="E12" i="20"/>
  <c r="F12" i="20"/>
  <c r="G12" i="20"/>
  <c r="C13" i="20"/>
  <c r="D13" i="20"/>
  <c r="E13" i="20"/>
  <c r="F13" i="20"/>
  <c r="G13" i="20"/>
  <c r="C14" i="20"/>
  <c r="D14" i="20"/>
  <c r="E14" i="20"/>
  <c r="F14" i="20"/>
  <c r="G14" i="20"/>
  <c r="C15" i="20"/>
  <c r="D15" i="20"/>
  <c r="E15" i="20"/>
  <c r="F15" i="20"/>
  <c r="G15" i="20"/>
  <c r="C16" i="20"/>
  <c r="A3" i="20"/>
  <c r="D16" i="20"/>
  <c r="E16" i="20"/>
  <c r="F16" i="20"/>
  <c r="G16" i="20"/>
  <c r="G3" i="19"/>
  <c r="H3" i="19"/>
  <c r="B3" i="19"/>
  <c r="C3" i="19"/>
  <c r="F3" i="19"/>
  <c r="E3" i="19"/>
  <c r="B6" i="19"/>
  <c r="C6" i="19"/>
  <c r="D6" i="19"/>
  <c r="C19" i="19"/>
  <c r="C17" i="20"/>
  <c r="D17" i="20"/>
  <c r="E17" i="20"/>
  <c r="F17" i="20"/>
  <c r="G17" i="20"/>
  <c r="C18" i="20"/>
  <c r="D18" i="20"/>
  <c r="E18" i="20"/>
  <c r="F18" i="20"/>
  <c r="G18" i="20"/>
  <c r="C19" i="20"/>
  <c r="D19" i="20"/>
  <c r="E19" i="20"/>
  <c r="F19" i="20"/>
  <c r="G19" i="20"/>
  <c r="C20" i="20"/>
  <c r="D20" i="20"/>
  <c r="E20" i="20"/>
  <c r="F20" i="20"/>
  <c r="G20" i="20"/>
  <c r="C21" i="20"/>
  <c r="D21" i="20"/>
  <c r="E21" i="20"/>
  <c r="F21" i="20"/>
  <c r="G21" i="20"/>
  <c r="C22" i="20"/>
  <c r="D22" i="20"/>
  <c r="E22" i="20"/>
  <c r="F22" i="20"/>
  <c r="G22" i="20"/>
  <c r="C23" i="20"/>
  <c r="D23" i="20"/>
  <c r="E23" i="20"/>
  <c r="F23" i="20"/>
  <c r="G23" i="20"/>
  <c r="G27" i="20"/>
  <c r="E27" i="20"/>
  <c r="H27" i="20"/>
  <c r="J5" i="22"/>
  <c r="L5" i="22"/>
  <c r="M5" i="22"/>
  <c r="N5" i="22"/>
  <c r="O5" i="22"/>
  <c r="C18" i="23"/>
  <c r="D18" i="23"/>
  <c r="C19" i="23"/>
  <c r="D19" i="23"/>
  <c r="C20" i="23"/>
  <c r="D20" i="23"/>
  <c r="C21" i="23"/>
  <c r="D21" i="23"/>
  <c r="C22" i="23"/>
  <c r="D22" i="23"/>
  <c r="C23" i="23"/>
  <c r="D23" i="23"/>
  <c r="C24" i="23"/>
  <c r="D24" i="23"/>
  <c r="C25" i="23"/>
  <c r="D25" i="23"/>
  <c r="C26" i="23"/>
  <c r="D26" i="23"/>
  <c r="D27" i="23"/>
  <c r="B34" i="23"/>
  <c r="C37" i="23"/>
  <c r="E37" i="23"/>
  <c r="B40" i="23"/>
  <c r="J5" i="24"/>
  <c r="L5" i="24"/>
  <c r="M5" i="24"/>
  <c r="N5" i="24"/>
  <c r="O5" i="24"/>
  <c r="C18" i="25"/>
  <c r="D18" i="25"/>
  <c r="C7" i="25"/>
  <c r="C19" i="25"/>
  <c r="D19" i="25"/>
  <c r="C8" i="25"/>
  <c r="C20" i="25"/>
  <c r="D20" i="25"/>
  <c r="C9" i="25"/>
  <c r="C21" i="25"/>
  <c r="D21" i="25"/>
  <c r="C10" i="25"/>
  <c r="C22" i="25"/>
  <c r="D22" i="25"/>
  <c r="C11" i="25"/>
  <c r="C23" i="25"/>
  <c r="D23" i="25"/>
  <c r="C12" i="25"/>
  <c r="C24" i="25"/>
  <c r="D24" i="25"/>
  <c r="C13" i="25"/>
  <c r="C25" i="25"/>
  <c r="D25" i="25"/>
  <c r="C26" i="25"/>
  <c r="D26" i="25"/>
  <c r="D27" i="25"/>
  <c r="B34" i="25"/>
  <c r="C37" i="25"/>
  <c r="E37" i="25"/>
  <c r="B40" i="25"/>
  <c r="E40" i="25"/>
  <c r="G40" i="25"/>
  <c r="C9" i="27"/>
  <c r="B3" i="27"/>
  <c r="D9" i="27"/>
  <c r="E9" i="27"/>
  <c r="M28" i="2"/>
  <c r="I9" i="27"/>
  <c r="F9" i="27"/>
  <c r="G9" i="27"/>
  <c r="C10" i="27"/>
  <c r="D10" i="27"/>
  <c r="E10" i="27"/>
  <c r="F10" i="27"/>
  <c r="G10" i="27"/>
  <c r="C11" i="27"/>
  <c r="D11" i="27"/>
  <c r="E11" i="27"/>
  <c r="F11" i="27"/>
  <c r="G11" i="27"/>
  <c r="C12" i="27"/>
  <c r="D12" i="27"/>
  <c r="E12" i="27"/>
  <c r="F12" i="27"/>
  <c r="G12" i="27"/>
  <c r="C13" i="27"/>
  <c r="D13" i="27"/>
  <c r="E13" i="27"/>
  <c r="F13" i="27"/>
  <c r="G13" i="27"/>
  <c r="C14" i="27"/>
  <c r="D14" i="27"/>
  <c r="E14" i="27"/>
  <c r="F14" i="27"/>
  <c r="G14" i="27"/>
  <c r="C15" i="27"/>
  <c r="D15" i="27"/>
  <c r="E15" i="27"/>
  <c r="F15" i="27"/>
  <c r="G15" i="27"/>
  <c r="C16" i="27"/>
  <c r="A3" i="27"/>
  <c r="D16" i="27"/>
  <c r="E16" i="27"/>
  <c r="F16" i="27"/>
  <c r="G16" i="27"/>
  <c r="C17" i="27"/>
  <c r="D17" i="27"/>
  <c r="E17" i="27"/>
  <c r="F17" i="27"/>
  <c r="G17" i="27"/>
  <c r="C18" i="27"/>
  <c r="D18" i="27"/>
  <c r="E18" i="27"/>
  <c r="F18" i="27"/>
  <c r="G18" i="27"/>
  <c r="C19" i="27"/>
  <c r="D19" i="27"/>
  <c r="E19" i="27"/>
  <c r="F19" i="27"/>
  <c r="G19" i="27"/>
  <c r="C20" i="27"/>
  <c r="D20" i="27"/>
  <c r="E20" i="27"/>
  <c r="F20" i="27"/>
  <c r="G20" i="27"/>
  <c r="C21" i="27"/>
  <c r="D21" i="27"/>
  <c r="E21" i="27"/>
  <c r="F21" i="27"/>
  <c r="G21" i="27"/>
  <c r="C22" i="27"/>
  <c r="D22" i="27"/>
  <c r="E22" i="27"/>
  <c r="F22" i="27"/>
  <c r="G22" i="27"/>
  <c r="C23" i="27"/>
  <c r="D23" i="27"/>
  <c r="E23" i="27"/>
  <c r="F23" i="27"/>
  <c r="G23" i="27"/>
  <c r="G27" i="27"/>
  <c r="E27" i="27"/>
  <c r="H27" i="27"/>
  <c r="H9" i="27"/>
  <c r="J9" i="27"/>
  <c r="H10" i="27"/>
  <c r="J10" i="27"/>
  <c r="I11" i="27"/>
  <c r="H11" i="27"/>
  <c r="J11" i="27"/>
  <c r="H12" i="27"/>
  <c r="J12" i="27"/>
  <c r="M32" i="2"/>
  <c r="I13" i="27"/>
  <c r="H13" i="27"/>
  <c r="J13" i="27"/>
  <c r="I14" i="27"/>
  <c r="H14" i="27"/>
  <c r="J14" i="27"/>
  <c r="H15" i="27"/>
  <c r="J15" i="27"/>
  <c r="M34" i="2"/>
  <c r="I16" i="27"/>
  <c r="H16" i="27"/>
  <c r="J16" i="27"/>
  <c r="I17" i="27"/>
  <c r="H17" i="27"/>
  <c r="J17" i="27"/>
  <c r="H18" i="27"/>
  <c r="J18" i="27"/>
  <c r="M36" i="2"/>
  <c r="I19" i="27"/>
  <c r="H19" i="27"/>
  <c r="J19" i="27"/>
  <c r="H20" i="27"/>
  <c r="J20" i="27"/>
  <c r="M38" i="2"/>
  <c r="I21" i="27"/>
  <c r="H21" i="27"/>
  <c r="J21" i="27"/>
  <c r="H22" i="27"/>
  <c r="J22" i="27"/>
  <c r="M40" i="2"/>
  <c r="I23" i="27"/>
  <c r="H23" i="27"/>
  <c r="J23" i="27"/>
  <c r="J27" i="27"/>
  <c r="H28" i="27"/>
  <c r="C29" i="27"/>
  <c r="C30" i="27"/>
  <c r="C31" i="27"/>
  <c r="B34" i="27"/>
  <c r="B35" i="27"/>
  <c r="C41" i="1"/>
  <c r="E35" i="27"/>
  <c r="B3" i="21"/>
  <c r="E13" i="21"/>
  <c r="F13" i="21"/>
  <c r="H13" i="21"/>
  <c r="I13" i="21"/>
  <c r="J13" i="21"/>
  <c r="E14" i="21"/>
  <c r="F14" i="21"/>
  <c r="H14" i="21"/>
  <c r="I14" i="21"/>
  <c r="J14" i="21"/>
  <c r="G13" i="21"/>
  <c r="G14" i="21"/>
  <c r="G12" i="21"/>
  <c r="B3" i="26"/>
  <c r="H18" i="8"/>
  <c r="J18" i="8"/>
  <c r="H22" i="20"/>
  <c r="J22" i="20"/>
  <c r="H20" i="20"/>
  <c r="J20" i="20"/>
  <c r="H18" i="20"/>
  <c r="J18" i="20"/>
  <c r="H15" i="20"/>
  <c r="J15" i="20"/>
  <c r="H16" i="20"/>
  <c r="I16" i="20"/>
  <c r="J16" i="20"/>
  <c r="H12" i="20"/>
  <c r="J12" i="20"/>
  <c r="H10" i="20"/>
  <c r="J10" i="20"/>
  <c r="H22" i="14"/>
  <c r="J22" i="14"/>
  <c r="H20" i="14"/>
  <c r="J20" i="14"/>
  <c r="H18" i="14"/>
  <c r="J18" i="14"/>
  <c r="H15" i="14"/>
  <c r="J15" i="14"/>
  <c r="H12" i="14"/>
  <c r="J12" i="14"/>
  <c r="H10" i="14"/>
  <c r="J10" i="14"/>
  <c r="H22" i="8"/>
  <c r="J22" i="8"/>
  <c r="H20" i="8"/>
  <c r="J20" i="8"/>
  <c r="H15" i="8"/>
  <c r="J15" i="8"/>
  <c r="H12" i="8"/>
  <c r="J12" i="8"/>
  <c r="H10" i="8"/>
  <c r="J10" i="8"/>
  <c r="D3" i="20"/>
  <c r="I9" i="20"/>
  <c r="H9" i="20"/>
  <c r="J9" i="20"/>
  <c r="I11" i="20"/>
  <c r="H11" i="20"/>
  <c r="J11" i="20"/>
  <c r="I13" i="20"/>
  <c r="H13" i="20"/>
  <c r="J13" i="20"/>
  <c r="I14" i="20"/>
  <c r="H14" i="20"/>
  <c r="J14" i="20"/>
  <c r="I17" i="20"/>
  <c r="H17" i="20"/>
  <c r="J17" i="20"/>
  <c r="I19" i="20"/>
  <c r="H19" i="20"/>
  <c r="J19" i="20"/>
  <c r="I21" i="20"/>
  <c r="H21" i="20"/>
  <c r="J21" i="20"/>
  <c r="I23" i="20"/>
  <c r="H23" i="20"/>
  <c r="J23" i="20"/>
  <c r="J27" i="20"/>
  <c r="H28" i="20"/>
  <c r="C29" i="20"/>
  <c r="C30" i="20"/>
  <c r="C31" i="20"/>
  <c r="B34" i="20"/>
  <c r="B35" i="20"/>
  <c r="E35" i="20"/>
  <c r="G3" i="26"/>
  <c r="F3" i="26"/>
  <c r="E40" i="23"/>
  <c r="J28" i="27"/>
  <c r="J29" i="27"/>
  <c r="E28" i="27"/>
  <c r="C3" i="27"/>
  <c r="C25" i="26"/>
  <c r="C24" i="26"/>
  <c r="C23" i="26"/>
  <c r="C22" i="26"/>
  <c r="C21" i="26"/>
  <c r="C20" i="26"/>
  <c r="H3" i="26"/>
  <c r="C3" i="26"/>
  <c r="E3" i="26"/>
  <c r="B6" i="26"/>
  <c r="C6" i="26"/>
  <c r="D6" i="26"/>
  <c r="C19" i="26"/>
  <c r="C18" i="26"/>
  <c r="C17" i="26"/>
  <c r="C16" i="26"/>
  <c r="C15" i="26"/>
  <c r="C14" i="26"/>
  <c r="C13" i="26"/>
  <c r="C12" i="26"/>
  <c r="C11" i="26"/>
  <c r="E6" i="26"/>
  <c r="D3" i="26"/>
  <c r="C40" i="25"/>
  <c r="D37" i="25"/>
  <c r="D31" i="25"/>
  <c r="C6" i="25"/>
  <c r="D6" i="25"/>
  <c r="E6" i="25"/>
  <c r="F6" i="25"/>
  <c r="D7" i="25"/>
  <c r="E7" i="25"/>
  <c r="F7" i="25"/>
  <c r="D8" i="25"/>
  <c r="E8" i="25"/>
  <c r="F8" i="25"/>
  <c r="D9" i="25"/>
  <c r="E9" i="25"/>
  <c r="F9" i="25"/>
  <c r="D10" i="25"/>
  <c r="E10" i="25"/>
  <c r="F10" i="25"/>
  <c r="D11" i="25"/>
  <c r="E11" i="25"/>
  <c r="F11" i="25"/>
  <c r="D12" i="25"/>
  <c r="E12" i="25"/>
  <c r="F12" i="25"/>
  <c r="D13" i="25"/>
  <c r="E13" i="25"/>
  <c r="F13" i="25"/>
  <c r="C14" i="25"/>
  <c r="D14" i="25"/>
  <c r="E14" i="25"/>
  <c r="F14" i="25"/>
  <c r="F15" i="25"/>
  <c r="D15" i="25"/>
  <c r="G15" i="25"/>
  <c r="H14" i="25"/>
  <c r="G14" i="25"/>
  <c r="H13" i="25"/>
  <c r="G13" i="25"/>
  <c r="H12" i="25"/>
  <c r="G12" i="25"/>
  <c r="H11" i="25"/>
  <c r="G11" i="25"/>
  <c r="H10" i="25"/>
  <c r="G10" i="25"/>
  <c r="H9" i="25"/>
  <c r="G9" i="25"/>
  <c r="H8" i="25"/>
  <c r="G8" i="25"/>
  <c r="H7" i="25"/>
  <c r="G7" i="25"/>
  <c r="H6" i="25"/>
  <c r="G6" i="25"/>
  <c r="F3" i="25"/>
  <c r="K3" i="25"/>
  <c r="E5" i="3"/>
  <c r="E5" i="24"/>
  <c r="G40" i="23"/>
  <c r="C40" i="23"/>
  <c r="D37" i="23"/>
  <c r="D31" i="23"/>
  <c r="G11" i="23"/>
  <c r="F3" i="23"/>
  <c r="E5" i="22"/>
  <c r="E40" i="4"/>
  <c r="G40" i="4"/>
  <c r="F3" i="12"/>
  <c r="K3" i="12"/>
  <c r="F3" i="18"/>
  <c r="K3" i="18"/>
  <c r="E28" i="20"/>
  <c r="F3" i="6"/>
  <c r="K3" i="6"/>
  <c r="F3" i="4"/>
  <c r="K3" i="4"/>
  <c r="F3" i="16"/>
  <c r="F3" i="10"/>
  <c r="E28" i="14"/>
  <c r="K11" i="8"/>
  <c r="E28" i="8"/>
  <c r="J3" i="2"/>
  <c r="I44" i="2"/>
  <c r="I45" i="2"/>
  <c r="L28" i="2"/>
  <c r="N28" i="2"/>
  <c r="L30" i="2"/>
  <c r="N30" i="2"/>
  <c r="L32" i="2"/>
  <c r="N32" i="2"/>
  <c r="L34" i="2"/>
  <c r="N34" i="2"/>
  <c r="L36" i="2"/>
  <c r="N36" i="2"/>
  <c r="L38" i="2"/>
  <c r="N38" i="2"/>
  <c r="L40" i="2"/>
  <c r="N40" i="2"/>
  <c r="N43" i="2"/>
  <c r="N44" i="2"/>
  <c r="H9" i="8"/>
  <c r="I9" i="8"/>
  <c r="J9" i="8"/>
  <c r="H11" i="8"/>
  <c r="I11" i="8"/>
  <c r="J11" i="8"/>
  <c r="H13" i="8"/>
  <c r="I13" i="8"/>
  <c r="J13" i="8"/>
  <c r="H14" i="8"/>
  <c r="I14" i="8"/>
  <c r="J14" i="8"/>
  <c r="H16" i="8"/>
  <c r="I16" i="8"/>
  <c r="J16" i="8"/>
  <c r="I17" i="8"/>
  <c r="H17" i="8"/>
  <c r="J17" i="8"/>
  <c r="H19" i="8"/>
  <c r="I19" i="8"/>
  <c r="J19" i="8"/>
  <c r="H21" i="8"/>
  <c r="I21" i="8"/>
  <c r="J21" i="8"/>
  <c r="H23" i="8"/>
  <c r="I23" i="8"/>
  <c r="J23" i="8"/>
  <c r="J27" i="8"/>
  <c r="H28" i="8"/>
  <c r="C29" i="8"/>
  <c r="C30" i="8"/>
  <c r="C31" i="8"/>
  <c r="D3" i="8"/>
  <c r="B34" i="8"/>
  <c r="B35" i="8"/>
  <c r="P34" i="2"/>
  <c r="I25" i="2"/>
  <c r="D37" i="4"/>
  <c r="D37" i="6"/>
  <c r="G5" i="7"/>
  <c r="B29" i="7"/>
  <c r="B32" i="7"/>
  <c r="C32" i="7"/>
  <c r="D32" i="7"/>
  <c r="F32" i="7"/>
  <c r="E32" i="7"/>
  <c r="H29" i="7"/>
  <c r="C29" i="7"/>
  <c r="G32" i="7"/>
  <c r="K14" i="21"/>
  <c r="K13" i="21"/>
  <c r="F7" i="21"/>
  <c r="D7" i="21"/>
  <c r="C7" i="21"/>
  <c r="D37" i="10"/>
  <c r="D37" i="12"/>
  <c r="D37" i="16"/>
  <c r="D37" i="18"/>
  <c r="D32" i="1"/>
  <c r="D34" i="1"/>
  <c r="H28" i="14"/>
  <c r="J28" i="20"/>
  <c r="J29" i="20"/>
  <c r="C3" i="20"/>
  <c r="C16" i="19"/>
  <c r="C15" i="19"/>
  <c r="C25" i="19"/>
  <c r="C24" i="19"/>
  <c r="C22" i="19"/>
  <c r="C20" i="19"/>
  <c r="C17" i="19"/>
  <c r="C14" i="19"/>
  <c r="C13" i="19"/>
  <c r="C12" i="19"/>
  <c r="C11" i="19"/>
  <c r="E6" i="19"/>
  <c r="D3" i="19"/>
  <c r="C40" i="18"/>
  <c r="D31" i="18"/>
  <c r="C6" i="18"/>
  <c r="D6" i="18"/>
  <c r="E6" i="18"/>
  <c r="F6" i="18"/>
  <c r="D7" i="18"/>
  <c r="E7" i="18"/>
  <c r="F7" i="18"/>
  <c r="D8" i="18"/>
  <c r="E8" i="18"/>
  <c r="F8" i="18"/>
  <c r="D9" i="18"/>
  <c r="E9" i="18"/>
  <c r="F9" i="18"/>
  <c r="D10" i="18"/>
  <c r="E10" i="18"/>
  <c r="F10" i="18"/>
  <c r="D11" i="18"/>
  <c r="E11" i="18"/>
  <c r="F11" i="18"/>
  <c r="D12" i="18"/>
  <c r="E12" i="18"/>
  <c r="F12" i="18"/>
  <c r="D13" i="18"/>
  <c r="E13" i="18"/>
  <c r="F13" i="18"/>
  <c r="C14" i="18"/>
  <c r="D14" i="18"/>
  <c r="E14" i="18"/>
  <c r="F14" i="18"/>
  <c r="F15" i="18"/>
  <c r="D15" i="18"/>
  <c r="G15" i="18"/>
  <c r="H14" i="18"/>
  <c r="G14" i="18"/>
  <c r="H13" i="18"/>
  <c r="G13" i="18"/>
  <c r="H12" i="18"/>
  <c r="G12" i="18"/>
  <c r="H11" i="18"/>
  <c r="G11" i="18"/>
  <c r="H10" i="18"/>
  <c r="G10" i="18"/>
  <c r="H9" i="18"/>
  <c r="G9" i="18"/>
  <c r="H8" i="18"/>
  <c r="G8" i="18"/>
  <c r="H7" i="18"/>
  <c r="G7" i="18"/>
  <c r="H6" i="18"/>
  <c r="G6" i="18"/>
  <c r="E5" i="17"/>
  <c r="E40" i="16"/>
  <c r="G40" i="16"/>
  <c r="C40" i="16"/>
  <c r="D31" i="16"/>
  <c r="G11" i="16"/>
  <c r="E5" i="15"/>
  <c r="C16" i="13"/>
  <c r="C15" i="13"/>
  <c r="D3" i="14"/>
  <c r="I9" i="14"/>
  <c r="H9" i="14"/>
  <c r="J9" i="14"/>
  <c r="I11" i="14"/>
  <c r="H11" i="14"/>
  <c r="J11" i="14"/>
  <c r="I13" i="14"/>
  <c r="H13" i="14"/>
  <c r="J13" i="14"/>
  <c r="I14" i="14"/>
  <c r="H14" i="14"/>
  <c r="J14" i="14"/>
  <c r="H16" i="14"/>
  <c r="I17" i="14"/>
  <c r="H17" i="14"/>
  <c r="J17" i="14"/>
  <c r="I19" i="14"/>
  <c r="H19" i="14"/>
  <c r="H21" i="14"/>
  <c r="I23" i="14"/>
  <c r="H23" i="14"/>
  <c r="J23" i="14"/>
  <c r="I16" i="14"/>
  <c r="J16" i="14"/>
  <c r="J19" i="14"/>
  <c r="I21" i="14"/>
  <c r="J21" i="14"/>
  <c r="J27" i="14"/>
  <c r="C29" i="14"/>
  <c r="C30" i="14"/>
  <c r="C31" i="14"/>
  <c r="B34" i="14"/>
  <c r="B35" i="14"/>
  <c r="J28" i="14"/>
  <c r="J29" i="14"/>
  <c r="C3" i="14"/>
  <c r="C25" i="13"/>
  <c r="C24" i="13"/>
  <c r="C22" i="13"/>
  <c r="C20" i="13"/>
  <c r="D3" i="13"/>
  <c r="C17" i="13"/>
  <c r="C14" i="13"/>
  <c r="C13" i="13"/>
  <c r="C12" i="13"/>
  <c r="C11" i="13"/>
  <c r="E6" i="13"/>
  <c r="C40" i="12"/>
  <c r="D31" i="12"/>
  <c r="C6" i="12"/>
  <c r="D6" i="12"/>
  <c r="E6" i="12"/>
  <c r="F6" i="12"/>
  <c r="D7" i="12"/>
  <c r="E7" i="12"/>
  <c r="F7" i="12"/>
  <c r="D8" i="12"/>
  <c r="E8" i="12"/>
  <c r="F8" i="12"/>
  <c r="D9" i="12"/>
  <c r="E9" i="12"/>
  <c r="F9" i="12"/>
  <c r="D10" i="12"/>
  <c r="E10" i="12"/>
  <c r="F10" i="12"/>
  <c r="D11" i="12"/>
  <c r="E11" i="12"/>
  <c r="F11" i="12"/>
  <c r="D12" i="12"/>
  <c r="E12" i="12"/>
  <c r="F12" i="12"/>
  <c r="D13" i="12"/>
  <c r="E13" i="12"/>
  <c r="F13" i="12"/>
  <c r="C14" i="12"/>
  <c r="D14" i="12"/>
  <c r="E14" i="12"/>
  <c r="F14" i="12"/>
  <c r="F15" i="12"/>
  <c r="D15" i="12"/>
  <c r="G15" i="12"/>
  <c r="H14" i="12"/>
  <c r="G14" i="12"/>
  <c r="H13" i="12"/>
  <c r="G13" i="12"/>
  <c r="H12" i="12"/>
  <c r="G12" i="12"/>
  <c r="H11" i="12"/>
  <c r="G11" i="12"/>
  <c r="H10" i="12"/>
  <c r="G10" i="12"/>
  <c r="H9" i="12"/>
  <c r="G9" i="12"/>
  <c r="H8" i="12"/>
  <c r="G8" i="12"/>
  <c r="H7" i="12"/>
  <c r="G7" i="12"/>
  <c r="H6" i="12"/>
  <c r="G6" i="12"/>
  <c r="E40" i="10"/>
  <c r="E5" i="11"/>
  <c r="G40" i="10"/>
  <c r="C40" i="10"/>
  <c r="D31" i="10"/>
  <c r="G11" i="10"/>
  <c r="E5" i="9"/>
  <c r="E7" i="2"/>
  <c r="J28" i="8"/>
  <c r="J29" i="8"/>
  <c r="C3" i="8"/>
  <c r="E6" i="7"/>
  <c r="H7" i="6"/>
  <c r="H8" i="6"/>
  <c r="H9" i="6"/>
  <c r="H10" i="6"/>
  <c r="H11" i="6"/>
  <c r="H12" i="6"/>
  <c r="H13" i="6"/>
  <c r="H14" i="6"/>
  <c r="H6" i="6"/>
  <c r="E7" i="6"/>
  <c r="E8" i="6"/>
  <c r="E9" i="6"/>
  <c r="E10" i="6"/>
  <c r="E11" i="6"/>
  <c r="E12" i="6"/>
  <c r="E13" i="6"/>
  <c r="E14" i="6"/>
  <c r="E6" i="6"/>
  <c r="C6" i="6"/>
  <c r="D6" i="6"/>
  <c r="C14" i="6"/>
  <c r="F6" i="6"/>
  <c r="D7" i="6"/>
  <c r="F7" i="6"/>
  <c r="D8" i="6"/>
  <c r="F8" i="6"/>
  <c r="D9" i="6"/>
  <c r="F9" i="6"/>
  <c r="D10" i="6"/>
  <c r="F10" i="6"/>
  <c r="D11" i="6"/>
  <c r="F11" i="6"/>
  <c r="D12" i="6"/>
  <c r="F12" i="6"/>
  <c r="D13" i="6"/>
  <c r="F13" i="6"/>
  <c r="D14" i="6"/>
  <c r="F14" i="6"/>
  <c r="F15" i="6"/>
  <c r="D15" i="6"/>
  <c r="G15" i="6"/>
  <c r="G6" i="6"/>
  <c r="G7" i="6"/>
  <c r="G8" i="6"/>
  <c r="G9" i="6"/>
  <c r="G10" i="6"/>
  <c r="G12" i="6"/>
  <c r="G13" i="6"/>
  <c r="G14" i="6"/>
  <c r="C40" i="6"/>
  <c r="D31" i="6"/>
  <c r="G11" i="6"/>
  <c r="E5" i="5"/>
  <c r="C40" i="4"/>
  <c r="D31" i="4"/>
  <c r="G11" i="4"/>
  <c r="B6" i="2"/>
  <c r="D6" i="2"/>
  <c r="E6" i="2"/>
  <c r="B7" i="2"/>
  <c r="B8" i="2"/>
  <c r="D8" i="2"/>
  <c r="E8" i="2"/>
  <c r="B9" i="2"/>
  <c r="B10" i="2"/>
  <c r="B11" i="2"/>
  <c r="B12" i="2"/>
  <c r="E12" i="2"/>
  <c r="C5" i="2"/>
  <c r="D5" i="2"/>
  <c r="E5" i="2"/>
  <c r="C2" i="2"/>
  <c r="D2" i="2"/>
  <c r="C18" i="2"/>
  <c r="N45" i="2"/>
  <c r="C43" i="2"/>
  <c r="C44" i="2"/>
  <c r="F23" i="2"/>
  <c r="F18" i="2"/>
  <c r="C15" i="2"/>
  <c r="L15" i="2"/>
  <c r="L25" i="2"/>
  <c r="I15" i="2"/>
  <c r="L24" i="2"/>
  <c r="L16" i="2"/>
  <c r="L20" i="2"/>
  <c r="L23" i="2"/>
  <c r="I20" i="2"/>
  <c r="I23" i="2"/>
  <c r="L19" i="2"/>
  <c r="L17" i="2"/>
  <c r="L22" i="2"/>
  <c r="I19" i="2"/>
  <c r="I22" i="2"/>
  <c r="L18" i="2"/>
  <c r="L21" i="2"/>
  <c r="I18" i="2"/>
  <c r="I21" i="2"/>
  <c r="C21" i="2"/>
  <c r="E2" i="2"/>
  <c r="G2" i="2"/>
  <c r="H2" i="2"/>
  <c r="I2" i="2"/>
  <c r="J2" i="2"/>
  <c r="K2" i="2"/>
  <c r="L2" i="2"/>
  <c r="M2" i="2"/>
  <c r="B5" i="2"/>
  <c r="B2" i="2"/>
  <c r="E11" i="2"/>
  <c r="C19" i="2"/>
  <c r="C22" i="2"/>
  <c r="E10" i="2"/>
  <c r="C20" i="2"/>
  <c r="C23" i="2"/>
  <c r="E9" i="2"/>
  <c r="C18" i="13"/>
  <c r="C21" i="13"/>
  <c r="C23" i="13"/>
  <c r="C18" i="19"/>
  <c r="C21" i="19"/>
  <c r="C23" i="19"/>
</calcChain>
</file>

<file path=xl/sharedStrings.xml><?xml version="1.0" encoding="utf-8"?>
<sst xmlns="http://schemas.openxmlformats.org/spreadsheetml/2006/main" count="730" uniqueCount="152">
  <si>
    <r>
      <t>θ</t>
    </r>
    <r>
      <rPr>
        <vertAlign val="subscript"/>
        <sz val="11"/>
        <color theme="1"/>
        <rFont val="Times New Roman"/>
        <family val="1"/>
      </rPr>
      <t>3</t>
    </r>
    <r>
      <rPr>
        <sz val="12"/>
        <color theme="1"/>
        <rFont val="Calibri"/>
        <family val="2"/>
        <scheme val="minor"/>
      </rPr>
      <t/>
    </r>
  </si>
  <si>
    <t>t</t>
  </si>
  <si>
    <r>
      <t>f</t>
    </r>
    <r>
      <rPr>
        <vertAlign val="subscript"/>
        <sz val="11"/>
        <color theme="1"/>
        <rFont val="Times New Roman"/>
        <family val="1"/>
      </rPr>
      <t xml:space="preserve">yb </t>
    </r>
    <r>
      <rPr>
        <sz val="11"/>
        <color theme="1"/>
        <rFont val="Times New Roman"/>
        <family val="1"/>
      </rPr>
      <t>(N/mm²)</t>
    </r>
  </si>
  <si>
    <t>E (N/mm²)</t>
  </si>
  <si>
    <t>Element</t>
  </si>
  <si>
    <t>θ1</t>
  </si>
  <si>
    <t>θ3</t>
  </si>
  <si>
    <t>2θ3</t>
  </si>
  <si>
    <r>
      <t>g</t>
    </r>
    <r>
      <rPr>
        <sz val="11"/>
        <color theme="1"/>
        <rFont val="Calibri"/>
        <family val="2"/>
      </rPr>
      <t>θ1</t>
    </r>
  </si>
  <si>
    <r>
      <t>g</t>
    </r>
    <r>
      <rPr>
        <sz val="11"/>
        <color theme="1"/>
        <rFont val="Calibri"/>
        <family val="2"/>
      </rPr>
      <t>θ3</t>
    </r>
  </si>
  <si>
    <r>
      <t>g2</t>
    </r>
    <r>
      <rPr>
        <sz val="11"/>
        <color theme="1"/>
        <rFont val="Calibri"/>
        <family val="2"/>
      </rPr>
      <t>θ3</t>
    </r>
  </si>
  <si>
    <t>fθ1</t>
  </si>
  <si>
    <t>fθ3</t>
  </si>
  <si>
    <t>f2θ3</t>
  </si>
  <si>
    <t>bpt</t>
  </si>
  <si>
    <t>bpb</t>
  </si>
  <si>
    <t>sw</t>
  </si>
  <si>
    <t>bflt</t>
  </si>
  <si>
    <t>bflb</t>
  </si>
  <si>
    <t>sflw</t>
  </si>
  <si>
    <t>lcθ1</t>
  </si>
  <si>
    <t>lcθ3</t>
  </si>
  <si>
    <t>lc2θ3</t>
  </si>
  <si>
    <t>Ccθ1</t>
  </si>
  <si>
    <t>Ccθ3</t>
  </si>
  <si>
    <t>Cc2θ3</t>
  </si>
  <si>
    <r>
      <t>l</t>
    </r>
    <r>
      <rPr>
        <vertAlign val="subscript"/>
        <sz val="11"/>
        <color theme="1"/>
        <rFont val="Times New Roman"/>
        <family val="1"/>
      </rPr>
      <t>i</t>
    </r>
  </si>
  <si>
    <t>lz</t>
  </si>
  <si>
    <t>ly</t>
  </si>
  <si>
    <r>
      <t>A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(mm²)</t>
    </r>
  </si>
  <si>
    <t>z(mm)</t>
  </si>
  <si>
    <r>
      <t>S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)</t>
    </r>
  </si>
  <si>
    <t>z0(mm)</t>
  </si>
  <si>
    <t>h</t>
  </si>
  <si>
    <r>
      <t>I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</t>
    </r>
    <r>
      <rPr>
        <vertAlign val="super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)</t>
    </r>
  </si>
  <si>
    <t>arrondi</t>
  </si>
  <si>
    <r>
      <t>b</t>
    </r>
    <r>
      <rPr>
        <vertAlign val="subscript"/>
        <sz val="11"/>
        <color theme="1"/>
        <rFont val="Times New Roman"/>
        <family val="1"/>
      </rPr>
      <t>p</t>
    </r>
  </si>
  <si>
    <t>k</t>
  </si>
  <si>
    <r>
      <rPr>
        <sz val="11"/>
        <color theme="1"/>
        <rFont val="Times New Roman"/>
        <family val="1"/>
      </rPr>
      <t>ψ</t>
    </r>
    <r>
      <rPr>
        <sz val="11"/>
        <color theme="1"/>
        <rFont val="Calibri"/>
        <family val="2"/>
      </rPr>
      <t>=</t>
    </r>
    <r>
      <rPr>
        <sz val="11"/>
        <color theme="1"/>
        <rFont val="Times New Roman"/>
        <family val="1"/>
      </rPr>
      <t>σ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/σ</t>
    </r>
    <r>
      <rPr>
        <vertAlign val="subscript"/>
        <sz val="11"/>
        <color theme="1"/>
        <rFont val="Times New Roman"/>
        <family val="1"/>
      </rPr>
      <t>1</t>
    </r>
  </si>
  <si>
    <t>ε</t>
  </si>
  <si>
    <r>
      <t>λ</t>
    </r>
    <r>
      <rPr>
        <vertAlign val="subscript"/>
        <sz val="11"/>
        <color theme="1"/>
        <rFont val="Times New Roman"/>
        <family val="1"/>
      </rPr>
      <t>p</t>
    </r>
  </si>
  <si>
    <r>
      <t>σ</t>
    </r>
    <r>
      <rPr>
        <vertAlign val="subscript"/>
        <sz val="11"/>
        <color rgb="FFFF0000"/>
        <rFont val="Times New Roman"/>
        <family val="1"/>
      </rPr>
      <t>com</t>
    </r>
  </si>
  <si>
    <r>
      <rPr>
        <sz val="11"/>
        <rFont val="Calibri"/>
        <family val="2"/>
      </rPr>
      <t>γ</t>
    </r>
    <r>
      <rPr>
        <vertAlign val="subscript"/>
        <sz val="11"/>
        <rFont val="Times New Roman"/>
        <family val="1"/>
      </rPr>
      <t>M0</t>
    </r>
  </si>
  <si>
    <r>
      <t>λ</t>
    </r>
    <r>
      <rPr>
        <vertAlign val="subscript"/>
        <sz val="11"/>
        <color theme="1"/>
        <rFont val="Times New Roman"/>
        <family val="1"/>
      </rPr>
      <t>pred</t>
    </r>
  </si>
  <si>
    <t>ρ</t>
  </si>
  <si>
    <r>
      <t>b</t>
    </r>
    <r>
      <rPr>
        <vertAlign val="sub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>=ρ*b</t>
    </r>
    <r>
      <rPr>
        <vertAlign val="subscript"/>
        <sz val="11"/>
        <color theme="1"/>
        <rFont val="Times New Roman"/>
        <family val="1"/>
      </rPr>
      <t>p</t>
    </r>
  </si>
  <si>
    <t>be1=be2</t>
  </si>
  <si>
    <r>
      <t>b</t>
    </r>
    <r>
      <rPr>
        <vertAlign val="subscript"/>
        <sz val="11"/>
        <color theme="1"/>
        <rFont val="Times New Roman"/>
        <family val="1"/>
      </rPr>
      <t>s</t>
    </r>
  </si>
  <si>
    <t>Elément</t>
  </si>
  <si>
    <r>
      <t>L</t>
    </r>
    <r>
      <rPr>
        <vertAlign val="subscript"/>
        <sz val="11"/>
        <color theme="1"/>
        <rFont val="Times New Roman"/>
        <family val="1"/>
      </rPr>
      <t xml:space="preserve">i </t>
    </r>
    <r>
      <rPr>
        <sz val="11"/>
        <color theme="1"/>
        <rFont val="Times New Roman"/>
        <family val="1"/>
      </rPr>
      <t>(mm)</t>
    </r>
  </si>
  <si>
    <t>1/2 (1eff)</t>
  </si>
  <si>
    <t>1/2 (7eff)</t>
  </si>
  <si>
    <t>total</t>
  </si>
  <si>
    <r>
      <t>b</t>
    </r>
    <r>
      <rPr>
        <vertAlign val="subscript"/>
        <sz val="11"/>
        <color theme="1"/>
        <rFont val="Times New Roman"/>
        <family val="1"/>
      </rPr>
      <t>d</t>
    </r>
  </si>
  <si>
    <r>
      <t>h</t>
    </r>
    <r>
      <rPr>
        <vertAlign val="subscript"/>
        <sz val="11"/>
        <color theme="1"/>
        <rFont val="Times New Roman"/>
        <family val="1"/>
      </rPr>
      <t>w</t>
    </r>
  </si>
  <si>
    <r>
      <t>s</t>
    </r>
    <r>
      <rPr>
        <vertAlign val="subscript"/>
        <sz val="11"/>
        <color theme="1"/>
        <rFont val="Times New Roman"/>
        <family val="1"/>
      </rPr>
      <t>w</t>
    </r>
  </si>
  <si>
    <r>
      <t>l</t>
    </r>
    <r>
      <rPr>
        <vertAlign val="subscript"/>
        <sz val="11"/>
        <color theme="1"/>
        <rFont val="Times New Roman"/>
        <family val="1"/>
      </rPr>
      <t>b</t>
    </r>
  </si>
  <si>
    <r>
      <t>l</t>
    </r>
    <r>
      <rPr>
        <vertAlign val="sub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>/s</t>
    </r>
    <r>
      <rPr>
        <vertAlign val="subscript"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&gt;2</t>
    </r>
  </si>
  <si>
    <r>
      <t>k</t>
    </r>
    <r>
      <rPr>
        <vertAlign val="subscript"/>
        <sz val="11"/>
        <color theme="1"/>
        <rFont val="Times New Roman"/>
        <family val="1"/>
      </rPr>
      <t>w0</t>
    </r>
  </si>
  <si>
    <r>
      <t>k</t>
    </r>
    <r>
      <rPr>
        <vertAlign val="subscript"/>
        <sz val="11"/>
        <color theme="1"/>
        <rFont val="Times New Roman"/>
        <family val="1"/>
      </rPr>
      <t>w</t>
    </r>
  </si>
  <si>
    <r>
      <t>σ</t>
    </r>
    <r>
      <rPr>
        <vertAlign val="subscript"/>
        <sz val="11"/>
        <color theme="1"/>
        <rFont val="Times New Roman"/>
        <family val="1"/>
      </rPr>
      <t>cr,s</t>
    </r>
    <r>
      <rPr>
        <sz val="11"/>
        <color theme="1"/>
        <rFont val="Times New Roman"/>
        <family val="1"/>
      </rPr>
      <t>(N/mm²)</t>
    </r>
  </si>
  <si>
    <t>λ</t>
  </si>
  <si>
    <t>λ&lt;0,65</t>
  </si>
  <si>
    <t>λ&gt;1,38</t>
  </si>
  <si>
    <t>χ</t>
  </si>
  <si>
    <r>
      <t>t</t>
    </r>
    <r>
      <rPr>
        <vertAlign val="subscript"/>
        <sz val="11"/>
        <color theme="1"/>
        <rFont val="Times New Roman"/>
        <family val="1"/>
      </rPr>
      <t>réd</t>
    </r>
  </si>
  <si>
    <t>fyb/γM0/σcom</t>
  </si>
  <si>
    <t>interior side</t>
  </si>
  <si>
    <t>ec</t>
  </si>
  <si>
    <r>
      <t>s</t>
    </r>
    <r>
      <rPr>
        <vertAlign val="subscript"/>
        <sz val="11"/>
        <color theme="1"/>
        <rFont val="Times New Roman"/>
        <family val="1"/>
      </rPr>
      <t>n</t>
    </r>
  </si>
  <si>
    <r>
      <t>s</t>
    </r>
    <r>
      <rPr>
        <vertAlign val="subscript"/>
        <sz val="11"/>
        <color theme="1"/>
        <rFont val="Times New Roman"/>
        <family val="1"/>
      </rPr>
      <t>eff,0</t>
    </r>
  </si>
  <si>
    <r>
      <t>s</t>
    </r>
    <r>
      <rPr>
        <vertAlign val="subscript"/>
        <sz val="11"/>
        <color theme="1"/>
        <rFont val="Times New Roman"/>
        <family val="1"/>
      </rPr>
      <t>eff,1</t>
    </r>
  </si>
  <si>
    <r>
      <t>s</t>
    </r>
    <r>
      <rPr>
        <vertAlign val="subscript"/>
        <sz val="11"/>
        <color theme="1"/>
        <rFont val="Times New Roman"/>
        <family val="1"/>
      </rPr>
      <t>eff,n</t>
    </r>
  </si>
  <si>
    <r>
      <t>s</t>
    </r>
    <r>
      <rPr>
        <vertAlign val="subscript"/>
        <sz val="11"/>
        <color theme="1"/>
        <rFont val="Times New Roman"/>
        <family val="1"/>
      </rPr>
      <t>eff,1</t>
    </r>
    <r>
      <rPr>
        <sz val="11"/>
        <color theme="1"/>
        <rFont val="Times New Roman"/>
        <family val="1"/>
      </rPr>
      <t xml:space="preserve"> + s</t>
    </r>
    <r>
      <rPr>
        <vertAlign val="subscript"/>
        <sz val="11"/>
        <color theme="1"/>
        <rFont val="Times New Roman"/>
        <family val="1"/>
      </rPr>
      <t>eff,n</t>
    </r>
  </si>
  <si>
    <t>&gt;sn</t>
  </si>
  <si>
    <t>7eff</t>
  </si>
  <si>
    <r>
      <t>t</t>
    </r>
    <r>
      <rPr>
        <vertAlign val="subscript"/>
        <sz val="11"/>
        <color theme="1"/>
        <rFont val="Times New Roman"/>
        <family val="1"/>
      </rPr>
      <t>eff</t>
    </r>
  </si>
  <si>
    <t>1/2 onde</t>
  </si>
  <si>
    <t>onde</t>
  </si>
  <si>
    <t>mm^3</t>
  </si>
  <si>
    <t>w</t>
  </si>
  <si>
    <t>mm3/mm</t>
  </si>
  <si>
    <t>M</t>
  </si>
  <si>
    <t>Nmm/mm</t>
  </si>
  <si>
    <t>kNm/m</t>
  </si>
  <si>
    <t>b/t=</t>
  </si>
  <si>
    <t>h/t=</t>
  </si>
  <si>
    <t>500sin(θ2)=</t>
  </si>
  <si>
    <r>
      <t>θ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=</t>
    </r>
  </si>
  <si>
    <t>r &lt;</t>
  </si>
  <si>
    <r>
      <t xml:space="preserve">0,04 </t>
    </r>
    <r>
      <rPr>
        <i/>
        <sz val="12"/>
        <color theme="1"/>
        <rFont val="Times New Roman"/>
      </rPr>
      <t>t</t>
    </r>
    <r>
      <rPr>
        <sz val="12"/>
        <color theme="1"/>
        <rFont val="Times New Roman"/>
      </rPr>
      <t xml:space="preserve"> </t>
    </r>
    <r>
      <rPr>
        <i/>
        <sz val="12"/>
        <color theme="1"/>
        <rFont val="Times New Roman"/>
      </rPr>
      <t>E</t>
    </r>
    <r>
      <rPr>
        <sz val="12"/>
        <color theme="1"/>
        <rFont val="Times New Roman"/>
      </rPr>
      <t xml:space="preserve"> / </t>
    </r>
    <r>
      <rPr>
        <i/>
        <sz val="12"/>
        <color theme="1"/>
        <rFont val="Times New Roman"/>
      </rPr>
      <t>f</t>
    </r>
    <r>
      <rPr>
        <vertAlign val="subscript"/>
        <sz val="12"/>
        <color theme="1"/>
        <rFont val="Times New Roman"/>
      </rPr>
      <t xml:space="preserve">y </t>
    </r>
  </si>
  <si>
    <r>
      <t>θ</t>
    </r>
    <r>
      <rPr>
        <vertAlign val="subscript"/>
        <sz val="11"/>
        <color theme="1"/>
        <rFont val="Times New Roman"/>
        <family val="1"/>
      </rPr>
      <t>2</t>
    </r>
    <r>
      <rPr>
        <sz val="12"/>
        <color theme="1"/>
        <rFont val="Calibri"/>
        <family val="2"/>
        <scheme val="minor"/>
      </rPr>
      <t/>
    </r>
  </si>
  <si>
    <r>
      <t>r</t>
    </r>
    <r>
      <rPr>
        <vertAlign val="subscript"/>
        <sz val="11"/>
        <color theme="1"/>
        <rFont val="Times New Roman"/>
        <family val="1"/>
      </rPr>
      <t>i</t>
    </r>
  </si>
  <si>
    <t>f</t>
  </si>
  <si>
    <t>$</t>
  </si>
  <si>
    <t>r/t&lt;10</t>
  </si>
  <si>
    <t>hw/t &lt;</t>
  </si>
  <si>
    <r>
      <t>200*sin</t>
    </r>
    <r>
      <rPr>
        <sz val="11"/>
        <color theme="1"/>
        <rFont val="Calibri"/>
        <family val="2"/>
      </rPr>
      <t>Ф</t>
    </r>
  </si>
  <si>
    <t>c &lt;</t>
  </si>
  <si>
    <r>
      <t>1,5 h</t>
    </r>
    <r>
      <rPr>
        <vertAlign val="subscript"/>
        <sz val="11"/>
        <color theme="1"/>
        <rFont val="Times New Roman"/>
        <family val="1"/>
      </rPr>
      <t>W</t>
    </r>
  </si>
  <si>
    <t>/ame</t>
  </si>
  <si>
    <r>
      <t>l</t>
    </r>
    <r>
      <rPr>
        <vertAlign val="subscript"/>
        <sz val="11"/>
        <color theme="1"/>
        <rFont val="Times New Roman"/>
        <family val="1"/>
      </rPr>
      <t>a</t>
    </r>
  </si>
  <si>
    <t>α</t>
  </si>
  <si>
    <r>
      <rPr>
        <sz val="11"/>
        <color theme="1"/>
        <rFont val="Calibri"/>
        <family val="2"/>
      </rPr>
      <t>γ</t>
    </r>
    <r>
      <rPr>
        <vertAlign val="subscript"/>
        <sz val="11"/>
        <color theme="1"/>
        <rFont val="Times New Roman"/>
        <family val="1"/>
      </rPr>
      <t>M1</t>
    </r>
  </si>
  <si>
    <r>
      <t>R</t>
    </r>
    <r>
      <rPr>
        <vertAlign val="subscript"/>
        <sz val="11"/>
        <color theme="1"/>
        <rFont val="Times New Roman"/>
        <family val="1"/>
      </rPr>
      <t>w,Rd(</t>
    </r>
    <r>
      <rPr>
        <sz val="11"/>
        <color theme="1"/>
        <rFont val="Times New Roman"/>
        <family val="1"/>
      </rPr>
      <t>âme non raidie)</t>
    </r>
  </si>
  <si>
    <r>
      <t>R</t>
    </r>
    <r>
      <rPr>
        <vertAlign val="subscript"/>
        <sz val="11"/>
        <color theme="1"/>
        <rFont val="Times New Roman"/>
        <family val="1"/>
      </rPr>
      <t>w,Rd</t>
    </r>
    <r>
      <rPr>
        <sz val="11"/>
        <color theme="1"/>
        <rFont val="Times New Roman"/>
        <family val="1"/>
      </rPr>
      <t>/m</t>
    </r>
  </si>
  <si>
    <r>
      <t>R</t>
    </r>
    <r>
      <rPr>
        <vertAlign val="subscript"/>
        <sz val="11"/>
        <color theme="1"/>
        <rFont val="Times New Roman"/>
        <family val="1"/>
      </rPr>
      <t>w,Rd</t>
    </r>
    <r>
      <rPr>
        <sz val="11"/>
        <color theme="1"/>
        <rFont val="Times New Roman"/>
        <family val="1"/>
      </rPr>
      <t>/m (kN/m)</t>
    </r>
  </si>
  <si>
    <t>Appui d'extrémité</t>
  </si>
  <si>
    <t>Appui inermédiaire</t>
  </si>
  <si>
    <r>
      <t>h</t>
    </r>
    <r>
      <rPr>
        <vertAlign val="subscript"/>
        <sz val="11"/>
        <color theme="1"/>
        <rFont val="Times New Roman"/>
        <family val="1"/>
      </rPr>
      <t>a</t>
    </r>
  </si>
  <si>
    <r>
      <t>s</t>
    </r>
    <r>
      <rPr>
        <vertAlign val="subscript"/>
        <sz val="11"/>
        <color theme="1"/>
        <rFont val="Times New Roman"/>
        <family val="1"/>
      </rPr>
      <t>eff,2</t>
    </r>
  </si>
  <si>
    <r>
      <t>h</t>
    </r>
    <r>
      <rPr>
        <vertAlign val="subscript"/>
        <sz val="11"/>
        <color theme="1"/>
        <rFont val="Times New Roman"/>
        <family val="1"/>
      </rPr>
      <t>sa</t>
    </r>
  </si>
  <si>
    <r>
      <t>s</t>
    </r>
    <r>
      <rPr>
        <vertAlign val="subscript"/>
        <sz val="11"/>
        <color theme="1"/>
        <rFont val="Times New Roman"/>
        <family val="1"/>
      </rPr>
      <t>eff,3</t>
    </r>
  </si>
  <si>
    <r>
      <t>s</t>
    </r>
    <r>
      <rPr>
        <vertAlign val="subscript"/>
        <sz val="11"/>
        <color theme="1"/>
        <rFont val="Times New Roman"/>
        <family val="1"/>
      </rPr>
      <t>eff,3</t>
    </r>
    <r>
      <rPr>
        <sz val="11"/>
        <color theme="1"/>
        <rFont val="Times New Roman"/>
        <family val="1"/>
      </rPr>
      <t xml:space="preserve"> + s</t>
    </r>
    <r>
      <rPr>
        <vertAlign val="subscript"/>
        <sz val="11"/>
        <color theme="1"/>
        <rFont val="Times New Roman"/>
        <family val="1"/>
      </rPr>
      <t>eff,n</t>
    </r>
  </si>
  <si>
    <t>&gt;</t>
  </si>
  <si>
    <t>donc pas de raidsseur comprimé</t>
  </si>
  <si>
    <t>bd</t>
  </si>
  <si>
    <r>
      <t>e</t>
    </r>
    <r>
      <rPr>
        <vertAlign val="subscript"/>
        <sz val="11"/>
        <rFont val="Times New Roman"/>
        <family val="1"/>
      </rPr>
      <t>max</t>
    </r>
  </si>
  <si>
    <r>
      <t>e</t>
    </r>
    <r>
      <rPr>
        <vertAlign val="subscript"/>
        <sz val="11"/>
        <rFont val="Times New Roman"/>
        <family val="1"/>
      </rPr>
      <t>min</t>
    </r>
  </si>
  <si>
    <r>
      <rPr>
        <sz val="11"/>
        <rFont val="Calibri"/>
        <family val="2"/>
      </rPr>
      <t>κ</t>
    </r>
    <r>
      <rPr>
        <vertAlign val="subscript"/>
        <sz val="11"/>
        <rFont val="Times New Roman"/>
        <family val="1"/>
      </rPr>
      <t>a,s</t>
    </r>
  </si>
  <si>
    <r>
      <t>R</t>
    </r>
    <r>
      <rPr>
        <vertAlign val="subscript"/>
        <sz val="11"/>
        <rFont val="Times New Roman"/>
        <family val="1"/>
      </rPr>
      <t xml:space="preserve">w,Rd </t>
    </r>
    <r>
      <rPr>
        <sz val="11"/>
        <rFont val="Times New Roman"/>
      </rPr>
      <t>(N)</t>
    </r>
  </si>
  <si>
    <t>FILL RED CELLS</t>
  </si>
  <si>
    <t>R1 (mm)</t>
  </si>
  <si>
    <r>
      <t>R2</t>
    </r>
    <r>
      <rPr>
        <vertAlign val="subscript"/>
        <sz val="11"/>
        <color theme="1"/>
        <rFont val="Times New Roman"/>
        <family val="1"/>
      </rPr>
      <t xml:space="preserve">sup </t>
    </r>
    <r>
      <rPr>
        <sz val="11"/>
        <color theme="1"/>
        <rFont val="Times New Roman"/>
        <family val="1"/>
      </rPr>
      <t>(mm)</t>
    </r>
  </si>
  <si>
    <r>
      <t>R2</t>
    </r>
    <r>
      <rPr>
        <vertAlign val="subscript"/>
        <sz val="11"/>
        <color theme="1"/>
        <rFont val="Times New Roman"/>
        <family val="1"/>
      </rPr>
      <t xml:space="preserve">inf </t>
    </r>
    <r>
      <rPr>
        <sz val="11"/>
        <color theme="1"/>
        <rFont val="Times New Roman"/>
        <family val="1"/>
      </rPr>
      <t>(mm)</t>
    </r>
  </si>
  <si>
    <t>R3 (mm)</t>
  </si>
  <si>
    <t>Pitch (mm)</t>
  </si>
  <si>
    <t>hw (mm)</t>
  </si>
  <si>
    <t>e (mm)</t>
  </si>
  <si>
    <t>d (mm)</t>
  </si>
  <si>
    <t>1) DATA</t>
  </si>
  <si>
    <t>2) Checking of geometrical proportions</t>
  </si>
  <si>
    <t>5) RESULTS</t>
  </si>
  <si>
    <r>
      <t>M</t>
    </r>
    <r>
      <rPr>
        <b/>
        <vertAlign val="subscript"/>
        <sz val="14"/>
        <color theme="1"/>
        <rFont val="Calibri"/>
        <scheme val="minor"/>
      </rPr>
      <t>span</t>
    </r>
    <r>
      <rPr>
        <b/>
        <sz val="14"/>
        <color theme="1"/>
        <rFont val="Calibri"/>
        <scheme val="minor"/>
      </rPr>
      <t>=</t>
    </r>
  </si>
  <si>
    <r>
      <t>R</t>
    </r>
    <r>
      <rPr>
        <b/>
        <vertAlign val="subscript"/>
        <sz val="14"/>
        <color theme="1"/>
        <rFont val="Calibri"/>
        <scheme val="minor"/>
      </rPr>
      <t>endsupport</t>
    </r>
    <r>
      <rPr>
        <b/>
        <sz val="14"/>
        <color theme="1"/>
        <rFont val="Calibri"/>
        <scheme val="minor"/>
      </rPr>
      <t>=</t>
    </r>
  </si>
  <si>
    <t>kN/m</t>
  </si>
  <si>
    <r>
      <t>l</t>
    </r>
    <r>
      <rPr>
        <vertAlign val="subscript"/>
        <sz val="11"/>
        <rFont val="Times New Roman"/>
        <family val="1"/>
      </rPr>
      <t xml:space="preserve">i </t>
    </r>
    <r>
      <rPr>
        <sz val="11"/>
        <rFont val="Times New Roman"/>
      </rPr>
      <t>(mm)</t>
    </r>
  </si>
  <si>
    <r>
      <t>l</t>
    </r>
    <r>
      <rPr>
        <vertAlign val="subscript"/>
        <sz val="12"/>
        <color theme="1"/>
        <rFont val="Times New Roman"/>
      </rPr>
      <t>iz</t>
    </r>
    <r>
      <rPr>
        <sz val="12"/>
        <color theme="1"/>
        <rFont val="Times New Roman"/>
      </rPr>
      <t xml:space="preserve"> (mm)</t>
    </r>
  </si>
  <si>
    <r>
      <t>l</t>
    </r>
    <r>
      <rPr>
        <vertAlign val="subscript"/>
        <sz val="12"/>
        <color theme="1"/>
        <rFont val="Times New Roman"/>
      </rPr>
      <t>iy</t>
    </r>
    <r>
      <rPr>
        <sz val="12"/>
        <color theme="1"/>
        <rFont val="Times New Roman"/>
      </rPr>
      <t xml:space="preserve"> (mm)</t>
    </r>
  </si>
  <si>
    <r>
      <t>g</t>
    </r>
    <r>
      <rPr>
        <sz val="11"/>
        <color theme="1"/>
        <rFont val="Calibri"/>
        <family val="2"/>
      </rPr>
      <t>θ2sup</t>
    </r>
  </si>
  <si>
    <t>fθ2sup</t>
  </si>
  <si>
    <r>
      <t>g</t>
    </r>
    <r>
      <rPr>
        <sz val="11"/>
        <color theme="1"/>
        <rFont val="Calibri"/>
        <family val="2"/>
      </rPr>
      <t>θ2inf</t>
    </r>
  </si>
  <si>
    <t>fθ2inf</t>
  </si>
  <si>
    <t>lcθ2inf</t>
  </si>
  <si>
    <t>Ccθ2inf</t>
  </si>
  <si>
    <t>lcθ2sup</t>
  </si>
  <si>
    <t>Ccθ2sup</t>
  </si>
  <si>
    <r>
      <t>θ</t>
    </r>
    <r>
      <rPr>
        <vertAlign val="subscript"/>
        <sz val="11"/>
        <color theme="0"/>
        <rFont val="Times New Roman"/>
        <family val="1"/>
      </rPr>
      <t>1</t>
    </r>
  </si>
  <si>
    <r>
      <t>θ</t>
    </r>
    <r>
      <rPr>
        <vertAlign val="subscript"/>
        <sz val="11"/>
        <color theme="0"/>
        <rFont val="Times New Roman"/>
        <family val="1"/>
      </rPr>
      <t>2</t>
    </r>
  </si>
  <si>
    <r>
      <t>θ</t>
    </r>
    <r>
      <rPr>
        <vertAlign val="subscript"/>
        <sz val="11"/>
        <color theme="0"/>
        <rFont val="Times New Roman"/>
        <family val="1"/>
      </rPr>
      <t>3</t>
    </r>
    <r>
      <rPr>
        <sz val="12"/>
        <color theme="1"/>
        <rFont val="Calibri"/>
        <family val="2"/>
        <scheme val="minor"/>
      </rPr>
      <t/>
    </r>
  </si>
  <si>
    <r>
      <t>t</t>
    </r>
    <r>
      <rPr>
        <sz val="11"/>
        <color theme="1"/>
        <rFont val="Times New Roman"/>
        <family val="1"/>
      </rPr>
      <t xml:space="preserve"> (mm)</t>
    </r>
  </si>
  <si>
    <r>
      <t>t</t>
    </r>
    <r>
      <rPr>
        <vertAlign val="subscript"/>
        <sz val="11"/>
        <color theme="1"/>
        <rFont val="Times New Roman"/>
        <family val="1"/>
      </rPr>
      <t>nom</t>
    </r>
    <r>
      <rPr>
        <sz val="11"/>
        <color theme="1"/>
        <rFont val="Times New Roman"/>
        <family val="1"/>
      </rPr>
      <t xml:space="preserve"> (mm)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</si>
</sst>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00"/>
  </numFmts>
  <fonts count="30" x14ac:knownFonts="1"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1"/>
      <name val="Times New Roman"/>
    </font>
    <font>
      <sz val="11"/>
      <color rgb="FFFF0000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vertAlign val="subscript"/>
      <sz val="11"/>
      <name val="Times New Roman"/>
      <family val="1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trike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theme="1"/>
      <name val="Times New Roman"/>
    </font>
    <font>
      <vertAlign val="subscript"/>
      <sz val="11"/>
      <color rgb="FFFF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u/>
      <sz val="12"/>
      <color theme="1"/>
      <name val="Calibri"/>
      <scheme val="minor"/>
    </font>
    <font>
      <i/>
      <sz val="12"/>
      <color theme="1"/>
      <name val="Times New Roman"/>
    </font>
    <font>
      <vertAlign val="subscript"/>
      <sz val="12"/>
      <color theme="1"/>
      <name val="Times New Roman"/>
    </font>
    <font>
      <sz val="11"/>
      <color theme="1"/>
      <name val="Symbol"/>
      <family val="1"/>
      <charset val="2"/>
    </font>
    <font>
      <u/>
      <sz val="11"/>
      <color theme="1"/>
      <name val="Times New Roman"/>
      <family val="1"/>
    </font>
    <font>
      <sz val="11"/>
      <color theme="0"/>
      <name val="Times New Roman"/>
      <family val="1"/>
    </font>
    <font>
      <sz val="12"/>
      <name val="Calibri"/>
      <scheme val="minor"/>
    </font>
    <font>
      <b/>
      <sz val="16"/>
      <color rgb="FFFF0000"/>
      <name val="Calibri"/>
      <scheme val="minor"/>
    </font>
    <font>
      <b/>
      <sz val="14"/>
      <color theme="1"/>
      <name val="Calibri"/>
      <scheme val="minor"/>
    </font>
    <font>
      <b/>
      <vertAlign val="subscript"/>
      <sz val="14"/>
      <color theme="1"/>
      <name val="Calibri"/>
      <scheme val="minor"/>
    </font>
    <font>
      <vertAlign val="subscript"/>
      <sz val="11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6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3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2" fontId="1" fillId="0" borderId="1" xfId="0" applyNumberFormat="1" applyFont="1" applyBorder="1"/>
    <xf numFmtId="2" fontId="3" fillId="0" borderId="1" xfId="0" applyNumberFormat="1" applyFont="1" applyBorder="1"/>
    <xf numFmtId="2" fontId="4" fillId="0" borderId="0" xfId="0" applyNumberFormat="1" applyFont="1" applyBorder="1" applyAlignment="1"/>
    <xf numFmtId="2" fontId="1" fillId="0" borderId="0" xfId="0" applyNumberFormat="1" applyFont="1" applyBorder="1"/>
    <xf numFmtId="0" fontId="1" fillId="0" borderId="1" xfId="0" applyFont="1" applyFill="1" applyBorder="1"/>
    <xf numFmtId="0" fontId="8" fillId="0" borderId="0" xfId="0" applyFont="1" applyBorder="1"/>
    <xf numFmtId="0" fontId="1" fillId="0" borderId="0" xfId="0" applyFont="1"/>
    <xf numFmtId="2" fontId="1" fillId="0" borderId="0" xfId="0" applyNumberFormat="1" applyFont="1"/>
    <xf numFmtId="0" fontId="9" fillId="0" borderId="0" xfId="0" applyFont="1" applyBorder="1"/>
    <xf numFmtId="0" fontId="3" fillId="0" borderId="0" xfId="0" applyFont="1"/>
    <xf numFmtId="0" fontId="0" fillId="0" borderId="0" xfId="0" applyBorder="1"/>
    <xf numFmtId="2" fontId="10" fillId="0" borderId="0" xfId="0" applyNumberFormat="1" applyFont="1" applyBorder="1"/>
    <xf numFmtId="0" fontId="0" fillId="0" borderId="0" xfId="0" applyFill="1" applyBorder="1"/>
    <xf numFmtId="164" fontId="10" fillId="0" borderId="0" xfId="0" applyNumberFormat="1" applyFont="1" applyBorder="1" applyAlignment="1">
      <alignment horizontal="right"/>
    </xf>
    <xf numFmtId="0" fontId="11" fillId="0" borderId="0" xfId="0" applyFont="1" applyFill="1" applyBorder="1"/>
    <xf numFmtId="164" fontId="11" fillId="0" borderId="0" xfId="0" applyNumberFormat="1" applyFont="1" applyBorder="1" applyAlignment="1">
      <alignment horizontal="right"/>
    </xf>
    <xf numFmtId="0" fontId="12" fillId="0" borderId="0" xfId="0" applyFont="1"/>
    <xf numFmtId="164" fontId="11" fillId="0" borderId="0" xfId="0" applyNumberFormat="1" applyFont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2" fontId="3" fillId="0" borderId="0" xfId="0" applyNumberFormat="1" applyFont="1"/>
    <xf numFmtId="0" fontId="1" fillId="0" borderId="0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2" fontId="14" fillId="0" borderId="0" xfId="0" applyNumberFormat="1" applyFont="1"/>
    <xf numFmtId="2" fontId="1" fillId="0" borderId="1" xfId="0" applyNumberFormat="1" applyFont="1" applyFill="1" applyBorder="1"/>
    <xf numFmtId="2" fontId="0" fillId="0" borderId="0" xfId="0" applyNumberFormat="1" applyFill="1"/>
    <xf numFmtId="0" fontId="15" fillId="0" borderId="1" xfId="0" applyFont="1" applyBorder="1"/>
    <xf numFmtId="0" fontId="15" fillId="0" borderId="0" xfId="0" applyFont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5" fontId="15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166" fontId="15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/>
    <xf numFmtId="165" fontId="1" fillId="0" borderId="1" xfId="0" applyNumberFormat="1" applyFont="1" applyBorder="1"/>
    <xf numFmtId="2" fontId="1" fillId="4" borderId="1" xfId="0" applyNumberFormat="1" applyFont="1" applyFill="1" applyBorder="1"/>
    <xf numFmtId="2" fontId="1" fillId="0" borderId="2" xfId="0" applyNumberFormat="1" applyFont="1" applyBorder="1" applyAlignment="1">
      <alignment horizontal="center"/>
    </xf>
    <xf numFmtId="2" fontId="4" fillId="0" borderId="1" xfId="0" applyNumberFormat="1" applyFont="1" applyBorder="1"/>
    <xf numFmtId="2" fontId="3" fillId="0" borderId="1" xfId="0" applyNumberFormat="1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" fontId="1" fillId="5" borderId="1" xfId="0" applyNumberFormat="1" applyFont="1" applyFill="1" applyBorder="1"/>
    <xf numFmtId="0" fontId="1" fillId="4" borderId="1" xfId="0" applyFont="1" applyFill="1" applyBorder="1"/>
    <xf numFmtId="165" fontId="1" fillId="6" borderId="1" xfId="0" applyNumberFormat="1" applyFont="1" applyFill="1" applyBorder="1" applyAlignment="1">
      <alignment horizontal="center"/>
    </xf>
    <xf numFmtId="0" fontId="0" fillId="7" borderId="0" xfId="0" applyFill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0" fontId="0" fillId="2" borderId="0" xfId="0" applyFill="1"/>
    <xf numFmtId="0" fontId="0" fillId="0" borderId="1" xfId="0" applyBorder="1"/>
    <xf numFmtId="2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/>
    </xf>
    <xf numFmtId="165" fontId="0" fillId="0" borderId="0" xfId="0" applyNumberFormat="1"/>
    <xf numFmtId="165" fontId="1" fillId="7" borderId="1" xfId="0" applyNumberFormat="1" applyFont="1" applyFill="1" applyBorder="1"/>
    <xf numFmtId="0" fontId="17" fillId="0" borderId="0" xfId="0" applyFont="1"/>
    <xf numFmtId="1" fontId="4" fillId="0" borderId="0" xfId="0" applyNumberFormat="1" applyFont="1"/>
    <xf numFmtId="1" fontId="1" fillId="0" borderId="0" xfId="0" applyNumberFormat="1" applyFont="1"/>
    <xf numFmtId="2" fontId="18" fillId="0" borderId="0" xfId="0" quotePrefix="1" applyNumberFormat="1" applyFont="1"/>
    <xf numFmtId="165" fontId="1" fillId="2" borderId="1" xfId="0" applyNumberFormat="1" applyFont="1" applyFill="1" applyBorder="1"/>
    <xf numFmtId="2" fontId="1" fillId="7" borderId="1" xfId="0" applyNumberFormat="1" applyFont="1" applyFill="1" applyBorder="1" applyAlignment="1">
      <alignment horizontal="center"/>
    </xf>
    <xf numFmtId="0" fontId="19" fillId="0" borderId="0" xfId="0" applyFont="1"/>
    <xf numFmtId="0" fontId="3" fillId="0" borderId="1" xfId="0" applyFont="1" applyFill="1" applyBorder="1"/>
    <xf numFmtId="0" fontId="0" fillId="0" borderId="1" xfId="0" applyBorder="1" applyAlignment="1">
      <alignment horizontal="right" vertical="center"/>
    </xf>
    <xf numFmtId="2" fontId="0" fillId="0" borderId="1" xfId="0" applyNumberFormat="1" applyBorder="1"/>
    <xf numFmtId="0" fontId="10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shrinkToFit="1"/>
    </xf>
    <xf numFmtId="0" fontId="22" fillId="0" borderId="1" xfId="0" applyFont="1" applyBorder="1" applyAlignment="1">
      <alignment shrinkToFit="1"/>
    </xf>
    <xf numFmtId="2" fontId="1" fillId="0" borderId="1" xfId="0" applyNumberFormat="1" applyFont="1" applyBorder="1" applyAlignment="1">
      <alignment shrinkToFit="1"/>
    </xf>
    <xf numFmtId="2" fontId="4" fillId="0" borderId="1" xfId="0" applyNumberFormat="1" applyFont="1" applyBorder="1" applyAlignment="1">
      <alignment shrinkToFit="1"/>
    </xf>
    <xf numFmtId="0" fontId="1" fillId="0" borderId="0" xfId="0" applyFont="1" applyAlignment="1">
      <alignment shrinkToFit="1"/>
    </xf>
    <xf numFmtId="2" fontId="1" fillId="0" borderId="1" xfId="0" applyNumberFormat="1" applyFont="1" applyBorder="1" applyAlignment="1">
      <alignment horizontal="right" shrinkToFit="1"/>
    </xf>
    <xf numFmtId="0" fontId="1" fillId="0" borderId="0" xfId="0" applyFont="1" applyAlignment="1">
      <alignment horizontal="right" vertical="center" shrinkToFit="1"/>
    </xf>
    <xf numFmtId="0" fontId="23" fillId="0" borderId="0" xfId="0" applyFont="1" applyAlignment="1">
      <alignment shrinkToFit="1"/>
    </xf>
    <xf numFmtId="0" fontId="24" fillId="0" borderId="0" xfId="0" applyFont="1" applyAlignment="1">
      <alignment shrinkToFit="1"/>
    </xf>
    <xf numFmtId="0" fontId="8" fillId="0" borderId="1" xfId="0" applyFont="1" applyBorder="1" applyAlignment="1">
      <alignment shrinkToFit="1"/>
    </xf>
    <xf numFmtId="0" fontId="1" fillId="5" borderId="1" xfId="0" applyFont="1" applyFill="1" applyBorder="1" applyAlignment="1">
      <alignment shrinkToFit="1"/>
    </xf>
    <xf numFmtId="165" fontId="1" fillId="0" borderId="1" xfId="0" applyNumberFormat="1" applyFont="1" applyBorder="1" applyAlignment="1">
      <alignment shrinkToFit="1"/>
    </xf>
    <xf numFmtId="0" fontId="1" fillId="7" borderId="1" xfId="0" applyFont="1" applyFill="1" applyBorder="1" applyAlignment="1">
      <alignment shrinkToFit="1"/>
    </xf>
    <xf numFmtId="0" fontId="25" fillId="0" borderId="0" xfId="0" applyFont="1"/>
    <xf numFmtId="0" fontId="4" fillId="0" borderId="0" xfId="0" applyFont="1" applyFill="1" applyBorder="1"/>
    <xf numFmtId="0" fontId="0" fillId="8" borderId="0" xfId="0" applyFill="1"/>
    <xf numFmtId="2" fontId="0" fillId="8" borderId="0" xfId="0" applyNumberFormat="1" applyFill="1"/>
    <xf numFmtId="0" fontId="3" fillId="0" borderId="1" xfId="0" applyFont="1" applyFill="1" applyBorder="1" applyAlignment="1">
      <alignment shrinkToFit="1"/>
    </xf>
    <xf numFmtId="0" fontId="3" fillId="0" borderId="1" xfId="0" applyFont="1" applyBorder="1" applyAlignment="1">
      <alignment shrinkToFit="1"/>
    </xf>
    <xf numFmtId="165" fontId="3" fillId="0" borderId="1" xfId="0" applyNumberFormat="1" applyFont="1" applyFill="1" applyBorder="1" applyAlignment="1">
      <alignment shrinkToFit="1"/>
    </xf>
    <xf numFmtId="165" fontId="3" fillId="0" borderId="1" xfId="0" applyNumberFormat="1" applyFont="1" applyBorder="1" applyAlignment="1">
      <alignment shrinkToFit="1"/>
    </xf>
    <xf numFmtId="2" fontId="3" fillId="0" borderId="1" xfId="0" applyNumberFormat="1" applyFont="1" applyBorder="1" applyAlignment="1">
      <alignment shrinkToFit="1"/>
    </xf>
    <xf numFmtId="0" fontId="26" fillId="9" borderId="0" xfId="0" applyFont="1" applyFill="1"/>
    <xf numFmtId="0" fontId="0" fillId="9" borderId="0" xfId="0" applyFill="1"/>
    <xf numFmtId="0" fontId="1" fillId="0" borderId="1" xfId="0" applyFont="1" applyBorder="1" applyAlignment="1">
      <alignment horizontal="left" vertical="center"/>
    </xf>
    <xf numFmtId="0" fontId="27" fillId="10" borderId="2" xfId="0" applyFont="1" applyFill="1" applyBorder="1" applyAlignment="1">
      <alignment horizontal="right" vertical="center"/>
    </xf>
    <xf numFmtId="2" fontId="27" fillId="10" borderId="4" xfId="0" applyNumberFormat="1" applyFont="1" applyFill="1" applyBorder="1"/>
    <xf numFmtId="0" fontId="27" fillId="10" borderId="2" xfId="0" applyFont="1" applyFill="1" applyBorder="1" applyAlignment="1">
      <alignment horizontal="right"/>
    </xf>
    <xf numFmtId="0" fontId="27" fillId="10" borderId="4" xfId="0" applyFont="1" applyFill="1" applyBorder="1"/>
    <xf numFmtId="165" fontId="27" fillId="10" borderId="6" xfId="0" applyNumberFormat="1" applyFont="1" applyFill="1" applyBorder="1" applyAlignment="1">
      <alignment horizontal="center"/>
    </xf>
    <xf numFmtId="0" fontId="24" fillId="0" borderId="5" xfId="0" applyFont="1" applyFill="1" applyBorder="1"/>
    <xf numFmtId="0" fontId="24" fillId="0" borderId="5" xfId="0" applyFont="1" applyBorder="1"/>
    <xf numFmtId="0" fontId="24" fillId="0" borderId="0" xfId="0" applyFont="1" applyBorder="1"/>
    <xf numFmtId="0" fontId="24" fillId="0" borderId="0" xfId="0" applyFont="1" applyFill="1" applyBorder="1"/>
    <xf numFmtId="0" fontId="15" fillId="3" borderId="1" xfId="0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5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Protection="1">
      <protection locked="0"/>
    </xf>
    <xf numFmtId="2" fontId="4" fillId="3" borderId="1" xfId="0" applyNumberFormat="1" applyFont="1" applyFill="1" applyBorder="1" applyAlignment="1" applyProtection="1">
      <protection locked="0"/>
    </xf>
    <xf numFmtId="0" fontId="0" fillId="3" borderId="1" xfId="0" applyFill="1" applyBorder="1" applyProtection="1">
      <protection locked="0"/>
    </xf>
  </cellXfs>
  <cellStyles count="16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139700</xdr:colOff>
      <xdr:row>27</xdr:row>
      <xdr:rowOff>0</xdr:rowOff>
    </xdr:from>
    <xdr:to>
      <xdr:col>11</xdr:col>
      <xdr:colOff>38100</xdr:colOff>
      <xdr:row>38</xdr:row>
      <xdr:rowOff>33454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352800"/>
          <a:ext cx="4851400" cy="2179754"/>
        </a:xfrm>
        <a:prstGeom prst="rect">
          <a:avLst/>
        </a:prstGeom>
      </xdr:spPr>
    </xdr:pic>
    <xdr:clientData/>
  </xdr:twoCellAnchor>
  <xdr:twoCellAnchor editAs="oneCell">
    <xdr:from>
      <xdr:col>10</xdr:col>
      <xdr:colOff>787400</xdr:colOff>
      <xdr:row>6</xdr:row>
      <xdr:rowOff>114301</xdr:rowOff>
    </xdr:from>
    <xdr:to>
      <xdr:col>14</xdr:col>
      <xdr:colOff>381000</xdr:colOff>
      <xdr:row>17</xdr:row>
      <xdr:rowOff>157789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2400" y="1346201"/>
          <a:ext cx="2895600" cy="2164388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228601</xdr:colOff>
      <xdr:row>6</xdr:row>
      <xdr:rowOff>163111</xdr:rowOff>
    </xdr:from>
    <xdr:to>
      <xdr:col>10</xdr:col>
      <xdr:colOff>152400</xdr:colOff>
      <xdr:row>25</xdr:row>
      <xdr:rowOff>114300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81601" y="1395011"/>
          <a:ext cx="3225799" cy="359608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workbookViewId="0">
      <selection activeCell="D9" sqref="D9"/>
    </sheetView>
  </sheetViews>
  <sheetFormatPr baseColWidth="10" defaultRowHeight="15.75" x14ac:dyDescent="0.25"/>
  <sheetData>
    <row r="1" spans="1:19" s="125" customFormat="1" ht="21" x14ac:dyDescent="0.35">
      <c r="A1" s="124" t="s">
        <v>121</v>
      </c>
    </row>
    <row r="3" spans="1:19" x14ac:dyDescent="0.25">
      <c r="B3" s="95" t="s">
        <v>130</v>
      </c>
    </row>
    <row r="5" spans="1:19" ht="16.5" x14ac:dyDescent="0.3">
      <c r="B5" s="7" t="s">
        <v>122</v>
      </c>
      <c r="C5" s="7" t="s">
        <v>123</v>
      </c>
      <c r="D5" s="7" t="s">
        <v>124</v>
      </c>
      <c r="E5" s="7" t="s">
        <v>125</v>
      </c>
      <c r="F5" s="139" t="s">
        <v>150</v>
      </c>
      <c r="G5" s="1" t="s">
        <v>151</v>
      </c>
      <c r="H5" s="7" t="s">
        <v>126</v>
      </c>
      <c r="I5" s="7" t="s">
        <v>127</v>
      </c>
      <c r="J5" s="1" t="s">
        <v>2</v>
      </c>
      <c r="K5" s="1" t="s">
        <v>3</v>
      </c>
      <c r="L5" s="126" t="s">
        <v>128</v>
      </c>
      <c r="M5" s="1" t="s">
        <v>129</v>
      </c>
      <c r="N5" s="133" t="s">
        <v>147</v>
      </c>
      <c r="O5" s="134" t="s">
        <v>148</v>
      </c>
      <c r="P5" s="134" t="s">
        <v>149</v>
      </c>
      <c r="Q5" s="25"/>
      <c r="R5" s="25"/>
      <c r="S5" s="25"/>
    </row>
    <row r="6" spans="1:19" x14ac:dyDescent="0.25">
      <c r="B6" s="140"/>
      <c r="C6" s="140"/>
      <c r="D6" s="140"/>
      <c r="E6" s="140"/>
      <c r="F6" s="136"/>
      <c r="G6" s="136"/>
      <c r="H6" s="136"/>
      <c r="I6" s="140"/>
      <c r="J6" s="141"/>
      <c r="K6" s="137"/>
      <c r="L6" s="142"/>
      <c r="M6" s="142"/>
      <c r="N6" s="132" t="e">
        <f>ATAN(D10/E10)</f>
        <v>#DIV/0!</v>
      </c>
      <c r="O6" s="135" t="e">
        <f>ATAN(D12/E12)</f>
        <v>#DIV/0!</v>
      </c>
      <c r="P6" s="135" t="e">
        <f>ATAN(D13/E13)</f>
        <v>#DIV/0!</v>
      </c>
      <c r="Q6" s="25"/>
      <c r="R6" s="25"/>
      <c r="S6" s="25"/>
    </row>
    <row r="7" spans="1:19" x14ac:dyDescent="0.25">
      <c r="B7" s="34"/>
      <c r="C7" s="34"/>
      <c r="D7" s="34"/>
      <c r="E7" s="34"/>
      <c r="F7" s="34"/>
      <c r="G7" s="34"/>
      <c r="H7" s="34"/>
      <c r="I7" s="34"/>
      <c r="J7" s="34"/>
      <c r="K7" s="5"/>
      <c r="L7" s="6"/>
    </row>
    <row r="8" spans="1:19" ht="18.75" x14ac:dyDescent="0.35">
      <c r="B8" s="2" t="s">
        <v>4</v>
      </c>
      <c r="C8" s="2" t="s">
        <v>136</v>
      </c>
      <c r="D8" s="33" t="s">
        <v>137</v>
      </c>
      <c r="E8" s="33" t="s">
        <v>138</v>
      </c>
      <c r="F8" s="34"/>
      <c r="G8" s="34"/>
      <c r="I8" s="34"/>
      <c r="J8" s="34"/>
      <c r="K8" s="34"/>
      <c r="L8" s="34"/>
    </row>
    <row r="9" spans="1:19" x14ac:dyDescent="0.25">
      <c r="B9" s="2">
        <v>1</v>
      </c>
      <c r="C9" s="4">
        <f t="shared" ref="C9:C15" si="0">(D9^2+E9^2)^0.5</f>
        <v>0</v>
      </c>
      <c r="D9" s="136"/>
      <c r="E9" s="136"/>
      <c r="F9" s="34"/>
      <c r="G9" s="34"/>
      <c r="I9" s="34"/>
      <c r="J9" s="34"/>
      <c r="K9" s="34"/>
      <c r="L9" s="34"/>
    </row>
    <row r="10" spans="1:19" x14ac:dyDescent="0.25">
      <c r="B10" s="2">
        <v>2</v>
      </c>
      <c r="C10" s="4">
        <f t="shared" si="0"/>
        <v>0</v>
      </c>
      <c r="D10" s="138"/>
      <c r="E10" s="138"/>
      <c r="F10" s="34"/>
      <c r="G10" s="34"/>
      <c r="H10" s="34"/>
      <c r="I10" s="34"/>
      <c r="J10" s="34"/>
      <c r="K10" s="34"/>
      <c r="L10" s="34"/>
    </row>
    <row r="11" spans="1:19" x14ac:dyDescent="0.25">
      <c r="B11" s="2">
        <v>3</v>
      </c>
      <c r="C11" s="4">
        <f t="shared" si="0"/>
        <v>0</v>
      </c>
      <c r="D11" s="138"/>
      <c r="E11" s="138"/>
      <c r="F11" s="34"/>
      <c r="G11" s="34"/>
      <c r="H11" s="34"/>
      <c r="I11" s="34"/>
      <c r="J11" s="34"/>
      <c r="K11" s="34"/>
      <c r="L11" s="34"/>
    </row>
    <row r="12" spans="1:19" x14ac:dyDescent="0.25">
      <c r="B12" s="2">
        <v>4</v>
      </c>
      <c r="C12" s="4">
        <f t="shared" si="0"/>
        <v>0</v>
      </c>
      <c r="D12" s="138"/>
      <c r="E12" s="138"/>
      <c r="F12" s="34"/>
      <c r="G12" s="34"/>
      <c r="H12" s="34"/>
      <c r="I12" s="34"/>
      <c r="J12" s="34"/>
      <c r="K12" s="34"/>
      <c r="L12" s="34"/>
    </row>
    <row r="13" spans="1:19" x14ac:dyDescent="0.25">
      <c r="B13" s="2">
        <v>5</v>
      </c>
      <c r="C13" s="4">
        <f t="shared" si="0"/>
        <v>0</v>
      </c>
      <c r="D13" s="138"/>
      <c r="E13" s="138"/>
      <c r="F13" s="34"/>
      <c r="G13" s="34"/>
      <c r="H13" s="34"/>
      <c r="I13" s="34"/>
      <c r="J13" s="34"/>
      <c r="K13" s="34"/>
      <c r="L13" s="34"/>
    </row>
    <row r="14" spans="1:19" x14ac:dyDescent="0.25">
      <c r="B14" s="2">
        <v>6</v>
      </c>
      <c r="C14" s="4">
        <f t="shared" si="0"/>
        <v>0</v>
      </c>
      <c r="D14" s="138"/>
      <c r="E14" s="138"/>
      <c r="F14" s="34"/>
      <c r="G14" s="34"/>
      <c r="H14" s="34"/>
      <c r="I14" s="34"/>
      <c r="J14" s="34"/>
      <c r="K14" s="34"/>
      <c r="L14" s="34"/>
    </row>
    <row r="15" spans="1:19" x14ac:dyDescent="0.25">
      <c r="B15" s="96">
        <v>7</v>
      </c>
      <c r="C15" s="4">
        <f t="shared" si="0"/>
        <v>0</v>
      </c>
      <c r="D15" s="138"/>
      <c r="E15" s="138"/>
      <c r="F15" s="34"/>
      <c r="G15" s="34"/>
      <c r="H15" s="34"/>
      <c r="I15" s="34"/>
      <c r="J15" s="34"/>
      <c r="K15" s="34"/>
      <c r="L15" s="34"/>
    </row>
    <row r="16" spans="1:19" x14ac:dyDescent="0.2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2:12" x14ac:dyDescent="0.25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2:12" x14ac:dyDescent="0.25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2:12" x14ac:dyDescent="0.25"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2:12" x14ac:dyDescent="0.2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2:12" x14ac:dyDescent="0.25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2:1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2:12" x14ac:dyDescent="0.25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2:12" x14ac:dyDescent="0.25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2:12" x14ac:dyDescent="0.25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2:12" x14ac:dyDescent="0.25"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8" spans="2:12" x14ac:dyDescent="0.25">
      <c r="B28" s="95" t="s">
        <v>131</v>
      </c>
    </row>
    <row r="31" spans="2:12" x14ac:dyDescent="0.25">
      <c r="C31" s="97" t="s">
        <v>85</v>
      </c>
      <c r="D31" s="98" t="e">
        <f>2*(E9+E10+E11)/(F6)</f>
        <v>#DIV/0!</v>
      </c>
    </row>
    <row r="32" spans="2:12" ht="16.5" x14ac:dyDescent="0.25">
      <c r="C32" s="84" t="s">
        <v>88</v>
      </c>
      <c r="D32" s="98" t="e">
        <f>O6*180/PI()</f>
        <v>#DIV/0!</v>
      </c>
    </row>
    <row r="33" spans="2:8" x14ac:dyDescent="0.25">
      <c r="C33" s="99" t="s">
        <v>86</v>
      </c>
      <c r="D33" s="98" t="e">
        <f>I6/(F6)</f>
        <v>#DIV/0!</v>
      </c>
    </row>
    <row r="34" spans="2:8" x14ac:dyDescent="0.25">
      <c r="C34" s="97" t="s">
        <v>87</v>
      </c>
      <c r="D34" s="98" t="e">
        <f>500*SIN(O6)</f>
        <v>#DIV/0!</v>
      </c>
    </row>
    <row r="35" spans="2:8" ht="18.75" x14ac:dyDescent="0.25">
      <c r="B35" s="101" t="s">
        <v>89</v>
      </c>
      <c r="C35" s="100" t="s">
        <v>90</v>
      </c>
      <c r="D35" s="98" t="e">
        <f>0.04*(F6)*K6/J6</f>
        <v>#DIV/0!</v>
      </c>
    </row>
    <row r="39" spans="2:8" x14ac:dyDescent="0.25">
      <c r="B39" s="95" t="s">
        <v>132</v>
      </c>
    </row>
    <row r="41" spans="2:8" ht="20.25" x14ac:dyDescent="0.35">
      <c r="B41" s="127" t="s">
        <v>133</v>
      </c>
      <c r="C41" s="131" t="e">
        <f>'moment (4)'!B35</f>
        <v>#DIV/0!</v>
      </c>
      <c r="D41" s="128" t="s">
        <v>84</v>
      </c>
      <c r="F41" s="129" t="s">
        <v>134</v>
      </c>
      <c r="G41" s="131" t="e">
        <f>Feuil1!K12</f>
        <v>#DIV/0!</v>
      </c>
      <c r="H41" s="130" t="s">
        <v>135</v>
      </c>
    </row>
  </sheetData>
  <sheetProtection password="DDF1" sheet="1" objects="1" scenarios="1" selectLockedCells="1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workbookViewId="0">
      <selection activeCell="D4" sqref="D4"/>
    </sheetView>
  </sheetViews>
  <sheetFormatPr baseColWidth="10" defaultRowHeight="15.75" x14ac:dyDescent="0.25"/>
  <cols>
    <col min="9" max="9" width="14.625" bestFit="1" customWidth="1"/>
  </cols>
  <sheetData>
    <row r="2" spans="2:9" ht="16.5" x14ac:dyDescent="0.3">
      <c r="B2" s="1" t="s">
        <v>47</v>
      </c>
      <c r="C2" s="1" t="s">
        <v>36</v>
      </c>
      <c r="D2" s="1" t="s">
        <v>1</v>
      </c>
      <c r="E2" s="1" t="s">
        <v>3</v>
      </c>
      <c r="F2" s="1" t="s">
        <v>2</v>
      </c>
      <c r="G2" s="9"/>
      <c r="H2" s="9"/>
      <c r="I2" s="9"/>
    </row>
    <row r="3" spans="2:9" x14ac:dyDescent="0.25">
      <c r="B3" s="3" t="e">
        <f>('data 2'!C28+'data 2'!C29+'data 2'!C30+'data 2'!C31/2)*2</f>
        <v>#DIV/0!</v>
      </c>
      <c r="C3" s="3" t="e">
        <f>flange!B5</f>
        <v>#DIV/0!</v>
      </c>
      <c r="D3" s="3" t="e">
        <f>flange!C5</f>
        <v>#DIV/0!</v>
      </c>
      <c r="E3" s="3">
        <f>'data 2'!M3</f>
        <v>0</v>
      </c>
      <c r="F3" s="56">
        <f>data!J6</f>
        <v>0</v>
      </c>
      <c r="G3" s="9"/>
      <c r="H3" s="9"/>
      <c r="I3" s="9"/>
    </row>
    <row r="4" spans="2:9" x14ac:dyDescent="0.25">
      <c r="B4" s="9"/>
      <c r="C4" s="9"/>
      <c r="D4" s="9"/>
      <c r="E4" s="9"/>
      <c r="F4" s="9"/>
      <c r="G4" s="9"/>
      <c r="H4" s="9"/>
      <c r="I4" s="9"/>
    </row>
    <row r="5" spans="2:9" ht="18.75" x14ac:dyDescent="0.3">
      <c r="B5" s="26" t="s">
        <v>48</v>
      </c>
      <c r="C5" s="26" t="s">
        <v>49</v>
      </c>
      <c r="D5" s="26" t="s">
        <v>29</v>
      </c>
      <c r="E5" s="26" t="s">
        <v>30</v>
      </c>
      <c r="F5" s="26" t="s">
        <v>31</v>
      </c>
      <c r="G5" s="26" t="s">
        <v>32</v>
      </c>
      <c r="H5" s="26" t="s">
        <v>33</v>
      </c>
      <c r="I5" s="26" t="s">
        <v>34</v>
      </c>
    </row>
    <row r="6" spans="2:9" x14ac:dyDescent="0.25">
      <c r="B6" s="26" t="s">
        <v>50</v>
      </c>
      <c r="C6" s="35" t="e">
        <f>15*D$3-'data 2'!C17</f>
        <v>#DIV/0!</v>
      </c>
      <c r="D6" s="35" t="e">
        <f>C6*$D$3</f>
        <v>#DIV/0!</v>
      </c>
      <c r="E6" s="35">
        <v>0</v>
      </c>
      <c r="F6" s="35" t="e">
        <f>D6*E6</f>
        <v>#DIV/0!</v>
      </c>
      <c r="G6" s="59" t="e">
        <f>$G$15-E6</f>
        <v>#DIV/0!</v>
      </c>
      <c r="H6" s="59" t="e">
        <f>D3</f>
        <v>#DIV/0!</v>
      </c>
      <c r="I6" s="78" t="e">
        <f>D6*H6^2/12+D6*G6^2</f>
        <v>#DIV/0!</v>
      </c>
    </row>
    <row r="7" spans="2:9" x14ac:dyDescent="0.25">
      <c r="B7" s="72">
        <v>2</v>
      </c>
      <c r="C7" s="73" t="e">
        <f>'data 2'!C31</f>
        <v>#DIV/0!</v>
      </c>
      <c r="D7" s="73" t="e">
        <f t="shared" ref="D7:D14" si="0">C7*$D$3</f>
        <v>#DIV/0!</v>
      </c>
      <c r="E7" s="73" t="e">
        <f>'data 2'!C25</f>
        <v>#DIV/0!</v>
      </c>
      <c r="F7" s="73" t="e">
        <f t="shared" ref="F7:F14" si="1">D7*E7</f>
        <v>#DIV/0!</v>
      </c>
      <c r="G7" s="74" t="e">
        <f t="shared" ref="G7:G14" si="2">$G$15-E7</f>
        <v>#DIV/0!</v>
      </c>
      <c r="H7" s="74"/>
      <c r="I7" s="79" t="e">
        <f>$D$3*'data 2'!E$3^3*(('data 2'!B$3+SIN('data 2'!B$3)*COS('data 2'!B$3))/2-SIN('data 2'!B$3)^2/'data 2'!B$3)+D7*G7^2</f>
        <v>#DIV/0!</v>
      </c>
    </row>
    <row r="8" spans="2:9" x14ac:dyDescent="0.25">
      <c r="B8" s="27">
        <v>3</v>
      </c>
      <c r="C8" s="76" t="e">
        <f>'data 2'!C30</f>
        <v>#DIV/0!</v>
      </c>
      <c r="D8" s="76" t="e">
        <f t="shared" si="0"/>
        <v>#DIV/0!</v>
      </c>
      <c r="E8" s="61">
        <f>'data 2'!D7/2</f>
        <v>0</v>
      </c>
      <c r="F8" s="76" t="e">
        <f t="shared" si="1"/>
        <v>#DIV/0!</v>
      </c>
      <c r="G8" s="77" t="e">
        <f t="shared" si="2"/>
        <v>#DIV/0!</v>
      </c>
      <c r="H8" s="77" t="e">
        <f>'data 2'!M30</f>
        <v>#DIV/0!</v>
      </c>
      <c r="I8" s="80" t="e">
        <f>D8*H8^2/12+D8*G8^2</f>
        <v>#DIV/0!</v>
      </c>
    </row>
    <row r="9" spans="2:9" x14ac:dyDescent="0.25">
      <c r="B9" s="72">
        <v>4</v>
      </c>
      <c r="C9" s="73" t="e">
        <f>'data 2'!C29</f>
        <v>#DIV/0!</v>
      </c>
      <c r="D9" s="73" t="e">
        <f t="shared" si="0"/>
        <v>#DIV/0!</v>
      </c>
      <c r="E9" s="75" t="e">
        <f>data!D10-'data 2'!C25</f>
        <v>#DIV/0!</v>
      </c>
      <c r="F9" s="73" t="e">
        <f t="shared" si="1"/>
        <v>#DIV/0!</v>
      </c>
      <c r="G9" s="74" t="e">
        <f t="shared" si="2"/>
        <v>#DIV/0!</v>
      </c>
      <c r="H9" s="74"/>
      <c r="I9" s="79" t="e">
        <f>$D$3*'data 2'!E$3^3*(('data 2'!B$3+SIN('data 2'!B$3)*COS('data 2'!B$3))/2-SIN('data 2'!B$3)^2/'data 2'!B$3)+D9*G9^2</f>
        <v>#DIV/0!</v>
      </c>
    </row>
    <row r="10" spans="2:9" x14ac:dyDescent="0.25">
      <c r="B10" s="26">
        <v>5</v>
      </c>
      <c r="C10" s="35" t="e">
        <f>'data 2'!C28*2</f>
        <v>#DIV/0!</v>
      </c>
      <c r="D10" s="35" t="e">
        <f t="shared" si="0"/>
        <v>#DIV/0!</v>
      </c>
      <c r="E10" s="61">
        <f>'data 2'!D7</f>
        <v>0</v>
      </c>
      <c r="F10" s="35" t="e">
        <f t="shared" si="1"/>
        <v>#DIV/0!</v>
      </c>
      <c r="G10" s="59" t="e">
        <f t="shared" si="2"/>
        <v>#DIV/0!</v>
      </c>
      <c r="H10" s="59" t="e">
        <f>D3</f>
        <v>#DIV/0!</v>
      </c>
      <c r="I10" s="78" t="e">
        <f>D10*H10^2/12+D10*G10^2</f>
        <v>#DIV/0!</v>
      </c>
    </row>
    <row r="11" spans="2:9" x14ac:dyDescent="0.25">
      <c r="B11" s="72">
        <v>6</v>
      </c>
      <c r="C11" s="73" t="e">
        <f>'data 2'!C29</f>
        <v>#DIV/0!</v>
      </c>
      <c r="D11" s="73" t="e">
        <f t="shared" si="0"/>
        <v>#DIV/0!</v>
      </c>
      <c r="E11" s="75" t="e">
        <f>E9</f>
        <v>#DIV/0!</v>
      </c>
      <c r="F11" s="73" t="e">
        <f t="shared" si="1"/>
        <v>#DIV/0!</v>
      </c>
      <c r="G11" s="74" t="e">
        <f t="shared" si="2"/>
        <v>#DIV/0!</v>
      </c>
      <c r="H11" s="74"/>
      <c r="I11" s="79" t="e">
        <f>I9</f>
        <v>#DIV/0!</v>
      </c>
    </row>
    <row r="12" spans="2:9" x14ac:dyDescent="0.25">
      <c r="B12" s="26">
        <v>7</v>
      </c>
      <c r="C12" s="76" t="e">
        <f>'data 2'!C30</f>
        <v>#DIV/0!</v>
      </c>
      <c r="D12" s="35" t="e">
        <f t="shared" si="0"/>
        <v>#DIV/0!</v>
      </c>
      <c r="E12" s="62">
        <f>E8</f>
        <v>0</v>
      </c>
      <c r="F12" s="35" t="e">
        <f t="shared" si="1"/>
        <v>#DIV/0!</v>
      </c>
      <c r="G12" s="59" t="e">
        <f t="shared" si="2"/>
        <v>#DIV/0!</v>
      </c>
      <c r="H12" s="59" t="e">
        <f>H8</f>
        <v>#DIV/0!</v>
      </c>
      <c r="I12" s="78" t="e">
        <f>D12*H12^2/12+D12*G12^2</f>
        <v>#DIV/0!</v>
      </c>
    </row>
    <row r="13" spans="2:9" x14ac:dyDescent="0.25">
      <c r="B13" s="72">
        <v>8</v>
      </c>
      <c r="C13" s="73" t="e">
        <f>'data 2'!C31</f>
        <v>#DIV/0!</v>
      </c>
      <c r="D13" s="73" t="e">
        <f t="shared" si="0"/>
        <v>#DIV/0!</v>
      </c>
      <c r="E13" s="75" t="e">
        <f>E7</f>
        <v>#DIV/0!</v>
      </c>
      <c r="F13" s="73" t="e">
        <f t="shared" si="1"/>
        <v>#DIV/0!</v>
      </c>
      <c r="G13" s="74" t="e">
        <f t="shared" si="2"/>
        <v>#DIV/0!</v>
      </c>
      <c r="H13" s="74"/>
      <c r="I13" s="79" t="e">
        <f>$D$3*'data 2'!E$3^3*(('data 2'!B$3+SIN('data 2'!B$3)*COS('data 2'!B$3))/2-SIN('data 2'!B$3)^2/'data 2'!B$3)+D13*G13^2</f>
        <v>#DIV/0!</v>
      </c>
    </row>
    <row r="14" spans="2:9" x14ac:dyDescent="0.25">
      <c r="B14" s="26" t="s">
        <v>51</v>
      </c>
      <c r="C14" s="35" t="e">
        <f>C6</f>
        <v>#DIV/0!</v>
      </c>
      <c r="D14" s="35" t="e">
        <f t="shared" si="0"/>
        <v>#DIV/0!</v>
      </c>
      <c r="E14" s="35">
        <f>E6</f>
        <v>0</v>
      </c>
      <c r="F14" s="35" t="e">
        <f t="shared" si="1"/>
        <v>#DIV/0!</v>
      </c>
      <c r="G14" s="59" t="e">
        <f t="shared" si="2"/>
        <v>#DIV/0!</v>
      </c>
      <c r="H14" s="59" t="e">
        <f>H6</f>
        <v>#DIV/0!</v>
      </c>
      <c r="I14" s="78" t="e">
        <f>D14*H14^2/12+D14*G14^2</f>
        <v>#DIV/0!</v>
      </c>
    </row>
    <row r="15" spans="2:9" x14ac:dyDescent="0.25">
      <c r="B15" s="63" t="s">
        <v>52</v>
      </c>
      <c r="C15" s="62"/>
      <c r="D15" s="64" t="e">
        <f>SUM(D6:D14)</f>
        <v>#DIV/0!</v>
      </c>
      <c r="E15" s="65"/>
      <c r="F15" s="35" t="e">
        <f>SUM(F6:F14)</f>
        <v>#DIV/0!</v>
      </c>
      <c r="G15" s="65" t="e">
        <f>F15/D15</f>
        <v>#DIV/0!</v>
      </c>
      <c r="H15" s="65"/>
      <c r="I15" s="78" t="e">
        <f>SUM(I6:I14)</f>
        <v>#DIV/0!</v>
      </c>
    </row>
    <row r="16" spans="2:9" x14ac:dyDescent="0.25">
      <c r="B16" s="66"/>
      <c r="C16" s="66"/>
      <c r="D16" s="66"/>
      <c r="E16" s="66"/>
      <c r="F16" s="66"/>
      <c r="G16" s="66"/>
      <c r="H16" s="67"/>
      <c r="I16" s="67"/>
    </row>
    <row r="17" spans="2:9" ht="16.5" x14ac:dyDescent="0.3">
      <c r="B17" s="26" t="s">
        <v>48</v>
      </c>
      <c r="C17" s="26" t="s">
        <v>49</v>
      </c>
      <c r="D17" s="26" t="s">
        <v>29</v>
      </c>
      <c r="E17" s="26"/>
      <c r="F17" s="26"/>
      <c r="G17" s="26"/>
      <c r="H17" s="26"/>
      <c r="I17" s="26"/>
    </row>
    <row r="18" spans="2:9" x14ac:dyDescent="0.25">
      <c r="B18" s="26" t="s">
        <v>50</v>
      </c>
      <c r="C18" s="94" t="e">
        <f>'flange (2)'!O5-'data 2'!C17</f>
        <v>#DIV/0!</v>
      </c>
      <c r="D18" s="35" t="e">
        <f>C18*$D$3</f>
        <v>#DIV/0!</v>
      </c>
      <c r="E18" s="35"/>
      <c r="F18" s="35"/>
      <c r="G18" s="59"/>
      <c r="H18" s="59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59"/>
      <c r="H19" s="59"/>
      <c r="I19" s="60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1"/>
      <c r="F20" s="35"/>
      <c r="G20" s="59"/>
      <c r="H20" s="59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2"/>
      <c r="F21" s="35"/>
      <c r="G21" s="59"/>
      <c r="H21" s="59"/>
      <c r="I21" s="60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1"/>
      <c r="F22" s="35"/>
      <c r="G22" s="59"/>
      <c r="H22" s="59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2"/>
      <c r="F23" s="35"/>
      <c r="G23" s="59"/>
      <c r="H23" s="59"/>
      <c r="I23" s="60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2"/>
      <c r="F24" s="35"/>
      <c r="G24" s="59"/>
      <c r="H24" s="59"/>
      <c r="I24" s="60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2"/>
      <c r="F25" s="35"/>
      <c r="G25" s="59"/>
      <c r="H25" s="59"/>
      <c r="I25" s="60"/>
    </row>
    <row r="26" spans="2:9" x14ac:dyDescent="0.25">
      <c r="B26" s="26" t="s">
        <v>51</v>
      </c>
      <c r="C26" s="35" t="e">
        <f>C18</f>
        <v>#DIV/0!</v>
      </c>
      <c r="D26" s="35" t="e">
        <f t="shared" si="3"/>
        <v>#DIV/0!</v>
      </c>
      <c r="E26" s="35"/>
      <c r="F26" s="35"/>
      <c r="G26" s="59"/>
      <c r="H26" s="59"/>
      <c r="I26" s="68"/>
    </row>
    <row r="27" spans="2:9" x14ac:dyDescent="0.25">
      <c r="B27" s="63" t="s">
        <v>52</v>
      </c>
      <c r="C27" s="62"/>
      <c r="D27" s="64" t="e">
        <f>SUM(D18:D26)</f>
        <v>#DIV/0!</v>
      </c>
      <c r="E27" s="65"/>
      <c r="F27" s="35"/>
      <c r="G27" s="65"/>
      <c r="H27" s="65"/>
      <c r="I27" s="3"/>
    </row>
    <row r="28" spans="2:9" x14ac:dyDescent="0.25">
      <c r="B28" s="66"/>
      <c r="C28" s="66"/>
      <c r="D28" s="66"/>
      <c r="E28" s="66"/>
      <c r="F28" s="66"/>
      <c r="G28" s="66"/>
      <c r="H28" s="67"/>
      <c r="I28" s="67"/>
    </row>
    <row r="29" spans="2:9" x14ac:dyDescent="0.25">
      <c r="B29" s="66"/>
      <c r="C29" s="66"/>
      <c r="D29" s="66"/>
      <c r="E29" s="66"/>
      <c r="F29" s="66"/>
      <c r="G29" s="66"/>
      <c r="H29" s="67"/>
      <c r="I29" s="67"/>
    </row>
    <row r="30" spans="2:9" ht="16.5" x14ac:dyDescent="0.3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69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60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2</v>
      </c>
      <c r="C36" s="1" t="s">
        <v>61</v>
      </c>
      <c r="D36" s="1" t="s">
        <v>62</v>
      </c>
      <c r="E36" s="1" t="s">
        <v>63</v>
      </c>
    </row>
    <row r="37" spans="2:9" x14ac:dyDescent="0.25">
      <c r="B37" s="60">
        <f>'data 2'!L3</f>
        <v>0</v>
      </c>
      <c r="C37" s="57" t="e">
        <f>(B37/B34)^0.5</f>
        <v>#DIV/0!</v>
      </c>
      <c r="D37" s="82" t="e">
        <f>IF(C37&lt;0.65,1,(1.47-0.723*C37))</f>
        <v>#DIV/0!</v>
      </c>
      <c r="E37" s="82" t="e">
        <f>IF(C37&gt;1.38,0.66/C37,D37)</f>
        <v>#DIV/0!</v>
      </c>
    </row>
    <row r="39" spans="2:9" ht="16.5" x14ac:dyDescent="0.3">
      <c r="B39" s="3" t="s">
        <v>64</v>
      </c>
      <c r="C39" s="26" t="s">
        <v>65</v>
      </c>
      <c r="E39" t="s">
        <v>66</v>
      </c>
    </row>
    <row r="40" spans="2:9" x14ac:dyDescent="0.25">
      <c r="B40" s="70" t="e">
        <f>E37</f>
        <v>#DIV/0!</v>
      </c>
      <c r="C40" s="35" t="e">
        <f>B40*D3</f>
        <v>#DIV/0!</v>
      </c>
      <c r="E40" s="28" t="e">
        <f>B37/'flange (2)'!K5/'flange (2)'!J5</f>
        <v>#DIV/0!</v>
      </c>
      <c r="G40" s="71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J6" sqref="J6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 t="s">
        <v>67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2" t="s">
        <v>38</v>
      </c>
      <c r="H4" s="53" t="s">
        <v>39</v>
      </c>
      <c r="I4" s="1" t="s">
        <v>40</v>
      </c>
      <c r="J4" s="54" t="s">
        <v>41</v>
      </c>
      <c r="K4" s="55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flange!B5</f>
        <v>#DIV/0!</v>
      </c>
      <c r="C5" s="3" t="e">
        <f>flange!C5</f>
        <v>#DIV/0!</v>
      </c>
      <c r="D5" s="3">
        <f>flange!D5</f>
        <v>0</v>
      </c>
      <c r="E5" s="3">
        <f>flange!E5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D5*'stiffner (2)'!B40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"/>
  <sheetViews>
    <sheetView workbookViewId="0">
      <selection activeCell="E40" sqref="E40"/>
    </sheetView>
  </sheetViews>
  <sheetFormatPr baseColWidth="10" defaultRowHeight="15.75" x14ac:dyDescent="0.25"/>
  <cols>
    <col min="9" max="9" width="14.625" bestFit="1" customWidth="1"/>
  </cols>
  <sheetData>
    <row r="2" spans="2:11" ht="16.5" x14ac:dyDescent="0.3">
      <c r="B2" s="1" t="s">
        <v>47</v>
      </c>
      <c r="C2" s="1" t="s">
        <v>36</v>
      </c>
      <c r="D2" s="1" t="s">
        <v>1</v>
      </c>
      <c r="E2" s="1" t="s">
        <v>3</v>
      </c>
      <c r="F2" s="1" t="s">
        <v>2</v>
      </c>
      <c r="G2" s="9"/>
      <c r="H2" s="9"/>
      <c r="I2" s="9"/>
      <c r="K2" s="54" t="s">
        <v>41</v>
      </c>
    </row>
    <row r="3" spans="2:11" x14ac:dyDescent="0.25">
      <c r="B3" s="3" t="e">
        <f>stiffner!B3</f>
        <v>#DIV/0!</v>
      </c>
      <c r="C3" s="3" t="e">
        <f>stiffner!C3</f>
        <v>#DIV/0!</v>
      </c>
      <c r="D3" s="3" t="e">
        <f>stiffner!D3</f>
        <v>#DIV/0!</v>
      </c>
      <c r="E3" s="3">
        <f>stiffner!E3</f>
        <v>0</v>
      </c>
      <c r="F3" s="56">
        <f>data!J6</f>
        <v>0</v>
      </c>
      <c r="G3" s="9"/>
      <c r="H3" s="9"/>
      <c r="I3" s="9"/>
      <c r="K3" s="57" t="e">
        <f>F3*((data!I6-stiffner!G15-moment!H27)/moment!H27)</f>
        <v>#DIV/0!</v>
      </c>
    </row>
    <row r="4" spans="2:11" x14ac:dyDescent="0.25">
      <c r="B4" s="9"/>
      <c r="C4" s="9"/>
      <c r="D4" s="9"/>
      <c r="E4" s="9"/>
      <c r="F4" s="9"/>
      <c r="G4" s="9"/>
      <c r="H4" s="9"/>
      <c r="I4" s="9"/>
    </row>
    <row r="5" spans="2:11" ht="18.75" x14ac:dyDescent="0.3">
      <c r="B5" s="26" t="s">
        <v>48</v>
      </c>
      <c r="C5" s="26" t="s">
        <v>49</v>
      </c>
      <c r="D5" s="26" t="s">
        <v>29</v>
      </c>
      <c r="E5" s="26" t="s">
        <v>30</v>
      </c>
      <c r="F5" s="26" t="s">
        <v>31</v>
      </c>
      <c r="G5" s="26" t="s">
        <v>32</v>
      </c>
      <c r="H5" s="26" t="s">
        <v>33</v>
      </c>
      <c r="I5" s="26" t="s">
        <v>34</v>
      </c>
    </row>
    <row r="6" spans="2:11" x14ac:dyDescent="0.25">
      <c r="B6" s="26" t="s">
        <v>50</v>
      </c>
      <c r="C6" s="38" t="e">
        <f>stiffner!C6</f>
        <v>#DIV/0!</v>
      </c>
      <c r="D6" s="35" t="e">
        <f>C6*$D$3</f>
        <v>#DIV/0!</v>
      </c>
      <c r="E6" s="38">
        <f>stiffner!E6</f>
        <v>0</v>
      </c>
      <c r="F6" s="35" t="e">
        <f>D6*E6</f>
        <v>#DIV/0!</v>
      </c>
      <c r="G6" s="59" t="e">
        <f>$G$15-E6</f>
        <v>#DIV/0!</v>
      </c>
      <c r="H6" s="38" t="e">
        <f>stiffner!H6</f>
        <v>#DIV/0!</v>
      </c>
      <c r="I6" s="38" t="e">
        <f>stiffner!I6</f>
        <v>#DIV/0!</v>
      </c>
    </row>
    <row r="7" spans="2:11" x14ac:dyDescent="0.25">
      <c r="B7" s="72">
        <v>2</v>
      </c>
      <c r="C7" s="83" t="e">
        <f>stiffner!C7</f>
        <v>#DIV/0!</v>
      </c>
      <c r="D7" s="73" t="e">
        <f t="shared" ref="D7:D14" si="0">C7*$D$3</f>
        <v>#DIV/0!</v>
      </c>
      <c r="E7" s="83" t="e">
        <f>stiffner!E7</f>
        <v>#DIV/0!</v>
      </c>
      <c r="F7" s="73" t="e">
        <f t="shared" ref="F7:F14" si="1">D7*E7</f>
        <v>#DIV/0!</v>
      </c>
      <c r="G7" s="74" t="e">
        <f t="shared" ref="G7:G14" si="2">$G$15-E7</f>
        <v>#DIV/0!</v>
      </c>
      <c r="H7" s="83">
        <f>stiffner!H7</f>
        <v>0</v>
      </c>
      <c r="I7" s="83" t="e">
        <f>stiffner!I7</f>
        <v>#DIV/0!</v>
      </c>
    </row>
    <row r="8" spans="2:11" x14ac:dyDescent="0.25">
      <c r="B8" s="27">
        <v>3</v>
      </c>
      <c r="C8" s="38" t="e">
        <f>stiffner!C8</f>
        <v>#DIV/0!</v>
      </c>
      <c r="D8" s="76" t="e">
        <f t="shared" si="0"/>
        <v>#DIV/0!</v>
      </c>
      <c r="E8" s="38">
        <f>stiffner!E8</f>
        <v>0</v>
      </c>
      <c r="F8" s="76" t="e">
        <f t="shared" si="1"/>
        <v>#DIV/0!</v>
      </c>
      <c r="G8" s="77" t="e">
        <f t="shared" si="2"/>
        <v>#DIV/0!</v>
      </c>
      <c r="H8" s="38" t="e">
        <f>stiffner!H8</f>
        <v>#DIV/0!</v>
      </c>
      <c r="I8" s="38" t="e">
        <f>stiffner!I8</f>
        <v>#DIV/0!</v>
      </c>
    </row>
    <row r="9" spans="2:11" x14ac:dyDescent="0.25">
      <c r="B9" s="72">
        <v>4</v>
      </c>
      <c r="C9" s="83" t="e">
        <f>stiffner!C9</f>
        <v>#DIV/0!</v>
      </c>
      <c r="D9" s="73" t="e">
        <f t="shared" si="0"/>
        <v>#DIV/0!</v>
      </c>
      <c r="E9" s="83" t="e">
        <f>stiffner!E9</f>
        <v>#DIV/0!</v>
      </c>
      <c r="F9" s="73" t="e">
        <f t="shared" si="1"/>
        <v>#DIV/0!</v>
      </c>
      <c r="G9" s="74" t="e">
        <f t="shared" si="2"/>
        <v>#DIV/0!</v>
      </c>
      <c r="H9" s="83">
        <f>stiffner!H9</f>
        <v>0</v>
      </c>
      <c r="I9" s="83" t="e">
        <f>stiffner!I9</f>
        <v>#DIV/0!</v>
      </c>
    </row>
    <row r="10" spans="2:11" x14ac:dyDescent="0.25">
      <c r="B10" s="26">
        <v>5</v>
      </c>
      <c r="C10" s="38" t="e">
        <f>stiffner!C10</f>
        <v>#DIV/0!</v>
      </c>
      <c r="D10" s="35" t="e">
        <f t="shared" si="0"/>
        <v>#DIV/0!</v>
      </c>
      <c r="E10" s="38">
        <f>stiffner!E10</f>
        <v>0</v>
      </c>
      <c r="F10" s="35" t="e">
        <f t="shared" si="1"/>
        <v>#DIV/0!</v>
      </c>
      <c r="G10" s="59" t="e">
        <f t="shared" si="2"/>
        <v>#DIV/0!</v>
      </c>
      <c r="H10" s="38" t="e">
        <f>stiffner!H10</f>
        <v>#DIV/0!</v>
      </c>
      <c r="I10" s="38" t="e">
        <f>stiffner!I10</f>
        <v>#DIV/0!</v>
      </c>
    </row>
    <row r="11" spans="2:11" x14ac:dyDescent="0.25">
      <c r="B11" s="72">
        <v>6</v>
      </c>
      <c r="C11" s="83" t="e">
        <f>stiffner!C11</f>
        <v>#DIV/0!</v>
      </c>
      <c r="D11" s="73" t="e">
        <f t="shared" si="0"/>
        <v>#DIV/0!</v>
      </c>
      <c r="E11" s="83" t="e">
        <f>stiffner!E11</f>
        <v>#DIV/0!</v>
      </c>
      <c r="F11" s="73" t="e">
        <f t="shared" si="1"/>
        <v>#DIV/0!</v>
      </c>
      <c r="G11" s="74" t="e">
        <f t="shared" si="2"/>
        <v>#DIV/0!</v>
      </c>
      <c r="H11" s="83">
        <f>stiffner!H11</f>
        <v>0</v>
      </c>
      <c r="I11" s="83" t="e">
        <f>stiffner!I11</f>
        <v>#DIV/0!</v>
      </c>
    </row>
    <row r="12" spans="2:11" x14ac:dyDescent="0.25">
      <c r="B12" s="26">
        <v>7</v>
      </c>
      <c r="C12" s="38" t="e">
        <f>stiffner!C12</f>
        <v>#DIV/0!</v>
      </c>
      <c r="D12" s="35" t="e">
        <f t="shared" si="0"/>
        <v>#DIV/0!</v>
      </c>
      <c r="E12" s="38">
        <f>stiffner!E12</f>
        <v>0</v>
      </c>
      <c r="F12" s="35" t="e">
        <f t="shared" si="1"/>
        <v>#DIV/0!</v>
      </c>
      <c r="G12" s="59" t="e">
        <f t="shared" si="2"/>
        <v>#DIV/0!</v>
      </c>
      <c r="H12" s="38" t="e">
        <f>stiffner!H12</f>
        <v>#DIV/0!</v>
      </c>
      <c r="I12" s="38" t="e">
        <f>stiffner!I12</f>
        <v>#DIV/0!</v>
      </c>
    </row>
    <row r="13" spans="2:11" x14ac:dyDescent="0.25">
      <c r="B13" s="72">
        <v>8</v>
      </c>
      <c r="C13" s="83" t="e">
        <f>stiffner!C13</f>
        <v>#DIV/0!</v>
      </c>
      <c r="D13" s="73" t="e">
        <f t="shared" si="0"/>
        <v>#DIV/0!</v>
      </c>
      <c r="E13" s="83" t="e">
        <f>stiffner!E13</f>
        <v>#DIV/0!</v>
      </c>
      <c r="F13" s="73" t="e">
        <f t="shared" si="1"/>
        <v>#DIV/0!</v>
      </c>
      <c r="G13" s="74" t="e">
        <f t="shared" si="2"/>
        <v>#DIV/0!</v>
      </c>
      <c r="H13" s="83">
        <f>stiffner!H13</f>
        <v>0</v>
      </c>
      <c r="I13" s="83" t="e">
        <f>stiffner!I13</f>
        <v>#DIV/0!</v>
      </c>
    </row>
    <row r="14" spans="2:11" x14ac:dyDescent="0.25">
      <c r="B14" s="26" t="s">
        <v>51</v>
      </c>
      <c r="C14" s="38" t="e">
        <f>stiffner!C14</f>
        <v>#DIV/0!</v>
      </c>
      <c r="D14" s="35" t="e">
        <f t="shared" si="0"/>
        <v>#DIV/0!</v>
      </c>
      <c r="E14" s="38">
        <f>stiffner!E14</f>
        <v>0</v>
      </c>
      <c r="F14" s="35" t="e">
        <f t="shared" si="1"/>
        <v>#DIV/0!</v>
      </c>
      <c r="G14" s="59" t="e">
        <f t="shared" si="2"/>
        <v>#DIV/0!</v>
      </c>
      <c r="H14" s="38" t="e">
        <f>stiffner!H14</f>
        <v>#DIV/0!</v>
      </c>
      <c r="I14" s="38" t="e">
        <f>stiffner!I14</f>
        <v>#DIV/0!</v>
      </c>
    </row>
    <row r="15" spans="2:11" x14ac:dyDescent="0.25">
      <c r="B15" s="63" t="s">
        <v>52</v>
      </c>
      <c r="C15" s="62"/>
      <c r="D15" s="64" t="e">
        <f>SUM(D6:D14)</f>
        <v>#DIV/0!</v>
      </c>
      <c r="E15" s="65"/>
      <c r="F15" s="35" t="e">
        <f>SUM(F6:F14)</f>
        <v>#DIV/0!</v>
      </c>
      <c r="G15" s="65" t="e">
        <f>F15/D15</f>
        <v>#DIV/0!</v>
      </c>
      <c r="H15" s="65"/>
      <c r="I15" s="78" t="e">
        <f>SUM(I6:I14)</f>
        <v>#DIV/0!</v>
      </c>
    </row>
    <row r="16" spans="2:11" x14ac:dyDescent="0.25">
      <c r="B16" s="66"/>
      <c r="C16" s="66"/>
      <c r="D16" s="66"/>
      <c r="E16" s="66"/>
      <c r="F16" s="66"/>
      <c r="G16" s="66"/>
      <c r="H16" s="67"/>
      <c r="I16" s="67"/>
    </row>
    <row r="17" spans="2:9" ht="16.5" x14ac:dyDescent="0.3">
      <c r="B17" s="26" t="s">
        <v>48</v>
      </c>
      <c r="C17" s="26" t="s">
        <v>49</v>
      </c>
      <c r="D17" s="26" t="s">
        <v>29</v>
      </c>
      <c r="E17" s="26"/>
      <c r="F17" s="26"/>
      <c r="G17" s="26"/>
      <c r="H17" s="26"/>
      <c r="I17" s="26"/>
    </row>
    <row r="18" spans="2:9" x14ac:dyDescent="0.25">
      <c r="B18" s="26" t="s">
        <v>50</v>
      </c>
      <c r="C18" s="35" t="e">
        <f>'flangebis (2)'!O5-'data 2'!C17</f>
        <v>#DIV/0!</v>
      </c>
      <c r="D18" s="35" t="e">
        <f>C18*$D$3</f>
        <v>#DIV/0!</v>
      </c>
      <c r="E18" s="35"/>
      <c r="F18" s="35"/>
      <c r="G18" s="59"/>
      <c r="H18" s="59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59"/>
      <c r="H19" s="59"/>
      <c r="I19" s="60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1"/>
      <c r="F20" s="35"/>
      <c r="G20" s="59"/>
      <c r="H20" s="59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2"/>
      <c r="F21" s="35"/>
      <c r="G21" s="59"/>
      <c r="H21" s="59"/>
      <c r="I21" s="60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1"/>
      <c r="F22" s="35"/>
      <c r="G22" s="59"/>
      <c r="H22" s="59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2"/>
      <c r="F23" s="35"/>
      <c r="G23" s="59"/>
      <c r="H23" s="59"/>
      <c r="I23" s="60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2"/>
      <c r="F24" s="35"/>
      <c r="G24" s="59"/>
      <c r="H24" s="59"/>
      <c r="I24" s="60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2"/>
      <c r="F25" s="35"/>
      <c r="G25" s="59"/>
      <c r="H25" s="59"/>
      <c r="I25" s="60"/>
    </row>
    <row r="26" spans="2:9" x14ac:dyDescent="0.25">
      <c r="B26" s="26" t="s">
        <v>51</v>
      </c>
      <c r="C26" s="35" t="e">
        <f>C18</f>
        <v>#DIV/0!</v>
      </c>
      <c r="D26" s="35" t="e">
        <f t="shared" si="3"/>
        <v>#DIV/0!</v>
      </c>
      <c r="E26" s="35"/>
      <c r="F26" s="35"/>
      <c r="G26" s="59"/>
      <c r="H26" s="59"/>
      <c r="I26" s="68"/>
    </row>
    <row r="27" spans="2:9" x14ac:dyDescent="0.25">
      <c r="B27" s="63" t="s">
        <v>52</v>
      </c>
      <c r="C27" s="62"/>
      <c r="D27" s="64" t="e">
        <f>SUM(D18:D26)</f>
        <v>#DIV/0!</v>
      </c>
      <c r="E27" s="65"/>
      <c r="F27" s="35"/>
      <c r="G27" s="65"/>
      <c r="H27" s="65"/>
      <c r="I27" s="3"/>
    </row>
    <row r="28" spans="2:9" x14ac:dyDescent="0.25">
      <c r="B28" s="66"/>
      <c r="C28" s="66"/>
      <c r="D28" s="66"/>
      <c r="E28" s="66"/>
      <c r="F28" s="66"/>
      <c r="G28" s="66"/>
      <c r="H28" s="67"/>
      <c r="I28" s="67"/>
    </row>
    <row r="29" spans="2:9" x14ac:dyDescent="0.25">
      <c r="B29" s="66"/>
      <c r="C29" s="66"/>
      <c r="D29" s="66"/>
      <c r="E29" s="66"/>
      <c r="F29" s="66"/>
      <c r="G29" s="66"/>
      <c r="H29" s="67"/>
      <c r="I29" s="67"/>
    </row>
    <row r="30" spans="2:9" ht="16.5" x14ac:dyDescent="0.3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69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60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2</v>
      </c>
      <c r="C36" s="1" t="s">
        <v>61</v>
      </c>
      <c r="D36" s="1" t="s">
        <v>62</v>
      </c>
      <c r="E36" s="1" t="s">
        <v>63</v>
      </c>
    </row>
    <row r="37" spans="2:9" x14ac:dyDescent="0.25">
      <c r="B37" s="60">
        <f>'data 2'!L3</f>
        <v>0</v>
      </c>
      <c r="C37" s="57" t="e">
        <f>(B37/B34)^0.5</f>
        <v>#DIV/0!</v>
      </c>
      <c r="D37" s="82" t="e">
        <f>IF(C37&lt;0.65,1,(1.47-0.723*C37))</f>
        <v>#DIV/0!</v>
      </c>
      <c r="E37" s="82" t="e">
        <f>IF(C37&gt;1.38,0.66/C37,D37)</f>
        <v>#DIV/0!</v>
      </c>
    </row>
    <row r="39" spans="2:9" ht="16.5" x14ac:dyDescent="0.3">
      <c r="B39" s="3" t="s">
        <v>64</v>
      </c>
      <c r="C39" s="26" t="s">
        <v>65</v>
      </c>
      <c r="E39" t="s">
        <v>66</v>
      </c>
    </row>
    <row r="40" spans="2:9" x14ac:dyDescent="0.25">
      <c r="B40" s="70" t="e">
        <f>E37</f>
        <v>#DIV/0!</v>
      </c>
      <c r="C40" s="35" t="e">
        <f>B40*D3</f>
        <v>#DIV/0!</v>
      </c>
      <c r="E40" s="28" t="e">
        <f>B37/'flange (2)'!K5/'flange (2)'!J5</f>
        <v>#DIV/0!</v>
      </c>
      <c r="G40" s="71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workbookViewId="0">
      <selection activeCell="B4" sqref="B4"/>
    </sheetView>
  </sheetViews>
  <sheetFormatPr baseColWidth="10" defaultRowHeight="15.75" x14ac:dyDescent="0.25"/>
  <sheetData>
    <row r="2" spans="2:8" ht="16.5" x14ac:dyDescent="0.3">
      <c r="B2" s="1" t="s">
        <v>1</v>
      </c>
      <c r="C2" s="1" t="s">
        <v>3</v>
      </c>
      <c r="D2" s="1" t="s">
        <v>2</v>
      </c>
      <c r="E2" s="55" t="s">
        <v>42</v>
      </c>
      <c r="F2" s="54" t="s">
        <v>41</v>
      </c>
      <c r="G2" s="1" t="s">
        <v>68</v>
      </c>
      <c r="H2" s="1" t="s">
        <v>69</v>
      </c>
    </row>
    <row r="3" spans="2:8" x14ac:dyDescent="0.25">
      <c r="B3" s="10">
        <f>web!B3</f>
        <v>0</v>
      </c>
      <c r="C3" s="10">
        <f>data!K6</f>
        <v>0</v>
      </c>
      <c r="D3" s="10">
        <f>data!J6</f>
        <v>0</v>
      </c>
      <c r="E3" s="9">
        <f>flange!K5</f>
        <v>1</v>
      </c>
      <c r="F3" s="9" t="e">
        <f>'flange (2)'!J5</f>
        <v>#DIV/0!</v>
      </c>
      <c r="G3" s="10" t="e">
        <f>'data 2'!K3-moment!H27</f>
        <v>#DIV/0!</v>
      </c>
      <c r="H3" s="9" t="e">
        <f>G3/SIN('data 2'!C3)-'data 2'!F16</f>
        <v>#DIV/0!</v>
      </c>
    </row>
    <row r="5" spans="2:8" ht="16.5" x14ac:dyDescent="0.3">
      <c r="B5" s="1" t="s">
        <v>70</v>
      </c>
      <c r="C5" s="1" t="s">
        <v>71</v>
      </c>
      <c r="D5" s="1" t="s">
        <v>72</v>
      </c>
      <c r="E5" s="1" t="s">
        <v>73</v>
      </c>
      <c r="F5" s="9" t="s">
        <v>74</v>
      </c>
    </row>
    <row r="6" spans="2:8" x14ac:dyDescent="0.25">
      <c r="B6" s="68" t="e">
        <f>0.95*B3*(C3/F3/E3)^0.5</f>
        <v>#DIV/0!</v>
      </c>
      <c r="C6" s="68" t="e">
        <f>B6</f>
        <v>#DIV/0!</v>
      </c>
      <c r="D6" s="3" t="e">
        <f>1.5*C6</f>
        <v>#DIV/0!</v>
      </c>
      <c r="E6" s="10" t="e">
        <f>C6+D6</f>
        <v>#DIV/0!</v>
      </c>
      <c r="F6" s="9"/>
    </row>
    <row r="10" spans="2:8" ht="18.75" x14ac:dyDescent="0.3">
      <c r="B10" s="1" t="s">
        <v>4</v>
      </c>
      <c r="C10" s="26" t="s">
        <v>49</v>
      </c>
      <c r="D10" s="26" t="s">
        <v>29</v>
      </c>
      <c r="E10" s="26" t="s">
        <v>30</v>
      </c>
      <c r="F10" s="26" t="s">
        <v>31</v>
      </c>
    </row>
    <row r="11" spans="2:8" x14ac:dyDescent="0.25">
      <c r="B11" s="1">
        <v>1</v>
      </c>
      <c r="C11" s="85" t="e">
        <f>'data 2'!C28</f>
        <v>#DIV/0!</v>
      </c>
    </row>
    <row r="12" spans="2:8" x14ac:dyDescent="0.25">
      <c r="B12" s="1">
        <v>2</v>
      </c>
      <c r="C12" s="85" t="e">
        <f>'data 2'!C29</f>
        <v>#DIV/0!</v>
      </c>
    </row>
    <row r="13" spans="2:8" x14ac:dyDescent="0.25">
      <c r="B13" s="1">
        <v>3</v>
      </c>
      <c r="C13" s="85" t="e">
        <f>'data 2'!C30</f>
        <v>#DIV/0!</v>
      </c>
    </row>
    <row r="14" spans="2:8" x14ac:dyDescent="0.25">
      <c r="B14" s="1">
        <v>4</v>
      </c>
      <c r="C14" s="85" t="e">
        <f>'data 2'!C31</f>
        <v>#DIV/0!</v>
      </c>
    </row>
    <row r="15" spans="2:8" x14ac:dyDescent="0.25">
      <c r="B15" s="1">
        <v>51</v>
      </c>
      <c r="C15" s="85" t="e">
        <f>'flangebis (2)'!O5-'data 2'!C17</f>
        <v>#DIV/0!</v>
      </c>
    </row>
    <row r="16" spans="2:8" x14ac:dyDescent="0.25">
      <c r="B16" s="1">
        <v>52</v>
      </c>
      <c r="C16" s="85" t="e">
        <f>'flange (2)'!O5-'data 2'!F17</f>
        <v>#DIV/0!</v>
      </c>
    </row>
    <row r="17" spans="2:3" x14ac:dyDescent="0.25">
      <c r="B17" s="1">
        <v>6</v>
      </c>
      <c r="C17" s="85" t="e">
        <f>'data 2'!C33</f>
        <v>#DIV/0!</v>
      </c>
    </row>
    <row r="18" spans="2:3" x14ac:dyDescent="0.25">
      <c r="B18" s="1">
        <v>7</v>
      </c>
      <c r="C18" s="85" t="e">
        <f>'data 2'!C34</f>
        <v>#DIV/0!</v>
      </c>
    </row>
    <row r="19" spans="2:3" x14ac:dyDescent="0.25">
      <c r="B19" s="84" t="s">
        <v>75</v>
      </c>
      <c r="C19" s="85" t="e">
        <f>IF(-(H3-C6-D6)&gt;0,0,(-(H3-C6-D6)))</f>
        <v>#DIV/0!</v>
      </c>
    </row>
    <row r="20" spans="2:3" x14ac:dyDescent="0.25">
      <c r="B20" s="1">
        <v>8</v>
      </c>
      <c r="C20" s="85" t="e">
        <f>'data 2'!C35</f>
        <v>#DIV/0!</v>
      </c>
    </row>
    <row r="21" spans="2:3" x14ac:dyDescent="0.25">
      <c r="B21" s="1">
        <v>9</v>
      </c>
      <c r="C21" s="85" t="e">
        <f>'data 2'!C36</f>
        <v>#DIV/0!</v>
      </c>
    </row>
    <row r="22" spans="2:3" x14ac:dyDescent="0.25">
      <c r="B22" s="1">
        <v>10</v>
      </c>
      <c r="C22" s="85" t="e">
        <f>'data 2'!C37</f>
        <v>#DIV/0!</v>
      </c>
    </row>
    <row r="23" spans="2:3" x14ac:dyDescent="0.25">
      <c r="B23" s="1">
        <v>11</v>
      </c>
      <c r="C23" s="85" t="e">
        <f>'data 2'!C38</f>
        <v>#DIV/0!</v>
      </c>
    </row>
    <row r="24" spans="2:3" x14ac:dyDescent="0.25">
      <c r="B24" s="1">
        <v>12</v>
      </c>
      <c r="C24" s="85" t="e">
        <f>'data 2'!C39</f>
        <v>#DIV/0!</v>
      </c>
    </row>
    <row r="25" spans="2:3" x14ac:dyDescent="0.25">
      <c r="B25" s="1">
        <v>13</v>
      </c>
      <c r="C25" s="86" t="e">
        <f>'data 2'!C40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workbookViewId="0">
      <selection activeCell="D14" sqref="D14:D15"/>
    </sheetView>
  </sheetViews>
  <sheetFormatPr baseColWidth="10" defaultRowHeight="15.75" x14ac:dyDescent="0.25"/>
  <sheetData>
    <row r="2" spans="1:10" ht="16.5" x14ac:dyDescent="0.3">
      <c r="A2" t="s">
        <v>1</v>
      </c>
      <c r="B2" s="1" t="s">
        <v>1</v>
      </c>
      <c r="C2" s="1" t="s">
        <v>3</v>
      </c>
      <c r="D2" s="1" t="s">
        <v>2</v>
      </c>
    </row>
    <row r="3" spans="1:10" x14ac:dyDescent="0.25">
      <c r="A3">
        <f>data!F6</f>
        <v>0</v>
      </c>
      <c r="B3" s="3" t="e">
        <f>flange!C5</f>
        <v>#DIV/0!</v>
      </c>
      <c r="C3" s="3">
        <f>data!K6</f>
        <v>0</v>
      </c>
      <c r="D3" s="3">
        <f>data!J6</f>
        <v>0</v>
      </c>
    </row>
    <row r="8" spans="1:10" ht="18.75" x14ac:dyDescent="0.3">
      <c r="B8" s="1" t="s">
        <v>4</v>
      </c>
      <c r="C8" s="26" t="s">
        <v>49</v>
      </c>
      <c r="D8" s="26" t="s">
        <v>76</v>
      </c>
      <c r="E8" s="26" t="s">
        <v>29</v>
      </c>
      <c r="F8" s="26" t="s">
        <v>30</v>
      </c>
      <c r="G8" s="26" t="s">
        <v>31</v>
      </c>
      <c r="H8" s="26" t="s">
        <v>32</v>
      </c>
      <c r="I8" s="27" t="s">
        <v>33</v>
      </c>
      <c r="J8" s="26" t="s">
        <v>34</v>
      </c>
    </row>
    <row r="9" spans="1:10" x14ac:dyDescent="0.25">
      <c r="A9" s="87">
        <v>0</v>
      </c>
      <c r="B9" s="26">
        <v>1</v>
      </c>
      <c r="C9" s="35" t="e">
        <f>web!C11</f>
        <v>#DIV/0!</v>
      </c>
      <c r="D9" s="88" t="e">
        <f>B$3*'stiffnerbis (2)'!B$40</f>
        <v>#DIV/0!</v>
      </c>
      <c r="E9" s="88" t="e">
        <f>IF('stiffnerbis (2)'!G$40&lt;1,C9*D9*'stiffnerbis (2)'!E$40,C9*B$3)</f>
        <v>#DIV/0!</v>
      </c>
      <c r="F9" s="3">
        <f>'data 2'!J28</f>
        <v>0</v>
      </c>
      <c r="G9" s="1" t="e">
        <f>E9*F9</f>
        <v>#DIV/0!</v>
      </c>
      <c r="H9" s="3" t="e">
        <f t="shared" ref="H9:H23" si="0">$H$27-F9</f>
        <v>#DIV/0!</v>
      </c>
      <c r="I9" s="57" t="e">
        <f>'data 2'!M28</f>
        <v>#DIV/0!</v>
      </c>
      <c r="J9" s="38" t="e">
        <f>E9*I9^2/12+E9*H9^2</f>
        <v>#DIV/0!</v>
      </c>
    </row>
    <row r="10" spans="1:10" x14ac:dyDescent="0.25">
      <c r="A10" s="87">
        <v>0.80870598857129861</v>
      </c>
      <c r="B10" s="26">
        <v>2</v>
      </c>
      <c r="C10" s="35" t="e">
        <f>web!C12</f>
        <v>#DIV/0!</v>
      </c>
      <c r="D10" s="88" t="e">
        <f>B$3*'stiffnerbis (2)'!B$40</f>
        <v>#DIV/0!</v>
      </c>
      <c r="E10" s="88" t="e">
        <f>IF('stiffnerbis (2)'!G$40&lt;1,C10*D10*'stiffnerbis (2)'!E$40,C10*B$3)</f>
        <v>#DIV/0!</v>
      </c>
      <c r="F10" s="3" t="e">
        <f>'data 2'!J29</f>
        <v>#DIV/0!</v>
      </c>
      <c r="G10" s="1" t="e">
        <f t="shared" ref="G10:G23" si="1">E10*F10</f>
        <v>#DIV/0!</v>
      </c>
      <c r="H10" s="3" t="e">
        <f t="shared" si="0"/>
        <v>#DIV/0!</v>
      </c>
      <c r="I10" s="57"/>
      <c r="J10" s="48" t="e">
        <f>D10*'data 2'!E$3^3*(('data 2'!B$3+SIN('data 2'!B$3)*COS('data 2'!B$3))/2-SIN('data 2'!B$3)^2/'data 2'!B$3)+E10*H10^2</f>
        <v>#DIV/0!</v>
      </c>
    </row>
    <row r="11" spans="1:10" x14ac:dyDescent="0.25">
      <c r="A11" s="87">
        <v>10.497526735775734</v>
      </c>
      <c r="B11" s="26">
        <v>3</v>
      </c>
      <c r="C11" s="35" t="e">
        <f>web!C13</f>
        <v>#DIV/0!</v>
      </c>
      <c r="D11" s="88" t="e">
        <f>B$3*'stiffnerbis (2)'!B$40</f>
        <v>#DIV/0!</v>
      </c>
      <c r="E11" s="88" t="e">
        <f>IF('stiffnerbis (2)'!G$40&lt;1,C11*D11*'stiffnerbis (2)'!E$40,C11*B$3)</f>
        <v>#DIV/0!</v>
      </c>
      <c r="F11" s="3">
        <f>'data 2'!J30</f>
        <v>0</v>
      </c>
      <c r="G11" s="1" t="e">
        <f t="shared" si="1"/>
        <v>#DIV/0!</v>
      </c>
      <c r="H11" s="3" t="e">
        <f t="shared" si="0"/>
        <v>#DIV/0!</v>
      </c>
      <c r="I11" s="57" t="e">
        <f>'data 2'!M30</f>
        <v>#DIV/0!</v>
      </c>
      <c r="J11" s="38" t="e">
        <f>E11*I11^2/12+E11*H11^2</f>
        <v>#DIV/0!</v>
      </c>
    </row>
    <row r="12" spans="1:10" x14ac:dyDescent="0.25">
      <c r="A12" s="87">
        <v>0.80870598857129861</v>
      </c>
      <c r="B12" s="26">
        <v>4</v>
      </c>
      <c r="C12" s="35" t="e">
        <f>web!C14</f>
        <v>#DIV/0!</v>
      </c>
      <c r="D12" s="88" t="e">
        <f>B$3*'stiffnerbis (2)'!B$40</f>
        <v>#DIV/0!</v>
      </c>
      <c r="E12" s="88" t="e">
        <f>IF('stiffnerbis (2)'!G$40&lt;1,C12*D12*'stiffnerbis (2)'!E$40,C12*B$3)</f>
        <v>#DIV/0!</v>
      </c>
      <c r="F12" s="3" t="e">
        <f>'data 2'!J31</f>
        <v>#DIV/0!</v>
      </c>
      <c r="G12" s="1" t="e">
        <f t="shared" si="1"/>
        <v>#DIV/0!</v>
      </c>
      <c r="H12" s="3" t="e">
        <f t="shared" si="0"/>
        <v>#DIV/0!</v>
      </c>
      <c r="I12" s="57"/>
      <c r="J12" s="48" t="e">
        <f>D12*'data 2'!E$3^3*(('data 2'!B$3+SIN('data 2'!B$3)*COS('data 2'!B$3))/2-SIN('data 2'!B$3)^2/'data 2'!B$3)+E12*H12^2</f>
        <v>#DIV/0!</v>
      </c>
    </row>
    <row r="13" spans="1:10" x14ac:dyDescent="0.25">
      <c r="B13" s="26">
        <v>51</v>
      </c>
      <c r="C13" s="35" t="e">
        <f>web!C15</f>
        <v>#DIV/0!</v>
      </c>
      <c r="D13" s="88" t="e">
        <f>B$3*'stiffnerbis (2)'!B$40</f>
        <v>#DIV/0!</v>
      </c>
      <c r="E13" s="88" t="e">
        <f>IF('stiffnerbis (2)'!G$40&lt;1,C13*D13*'stiffnerbis (2)'!E$40,C13*B$3)</f>
        <v>#DIV/0!</v>
      </c>
      <c r="F13" s="3">
        <f>'data 2'!J32</f>
        <v>0</v>
      </c>
      <c r="G13" s="1" t="e">
        <f t="shared" si="1"/>
        <v>#DIV/0!</v>
      </c>
      <c r="H13" s="3" t="e">
        <f t="shared" si="0"/>
        <v>#DIV/0!</v>
      </c>
      <c r="I13" s="57" t="e">
        <f>'data 2'!M32</f>
        <v>#DIV/0!</v>
      </c>
      <c r="J13" s="38" t="e">
        <f>E13*I13^2/12+E13*H13^2</f>
        <v>#DIV/0!</v>
      </c>
    </row>
    <row r="14" spans="1:10" x14ac:dyDescent="0.25">
      <c r="B14" s="26">
        <v>52</v>
      </c>
      <c r="C14" s="35" t="e">
        <f>web!C16</f>
        <v>#DIV/0!</v>
      </c>
      <c r="D14" s="57" t="e">
        <f t="shared" ref="D14:D15" si="2">B$3</f>
        <v>#DIV/0!</v>
      </c>
      <c r="E14" s="57" t="e">
        <f>C14*D14</f>
        <v>#DIV/0!</v>
      </c>
      <c r="F14" s="3">
        <f>'data 2'!J32</f>
        <v>0</v>
      </c>
      <c r="G14" s="1" t="e">
        <f t="shared" si="1"/>
        <v>#DIV/0!</v>
      </c>
      <c r="H14" s="3" t="e">
        <f t="shared" si="0"/>
        <v>#DIV/0!</v>
      </c>
      <c r="I14" s="57" t="e">
        <f>'data 2'!M32</f>
        <v>#DIV/0!</v>
      </c>
      <c r="J14" s="38" t="e">
        <f>E14*I14^2/12+E14*H14^2</f>
        <v>#DIV/0!</v>
      </c>
    </row>
    <row r="15" spans="1:10" x14ac:dyDescent="0.25">
      <c r="B15" s="26">
        <v>6</v>
      </c>
      <c r="C15" s="35" t="e">
        <f>web!C17</f>
        <v>#DIV/0!</v>
      </c>
      <c r="D15" s="57" t="e">
        <f t="shared" si="2"/>
        <v>#DIV/0!</v>
      </c>
      <c r="E15" s="57" t="e">
        <f t="shared" ref="E15:E22" si="3">C15*D15</f>
        <v>#DIV/0!</v>
      </c>
      <c r="F15" s="3" t="e">
        <f>'data 2'!J33</f>
        <v>#DIV/0!</v>
      </c>
      <c r="G15" s="1" t="e">
        <f t="shared" si="1"/>
        <v>#DIV/0!</v>
      </c>
      <c r="H15" s="3" t="e">
        <f t="shared" si="0"/>
        <v>#DIV/0!</v>
      </c>
      <c r="I15" s="57"/>
      <c r="J15" s="48" t="e">
        <f>D15*'data 2'!E$3^3*(('data 2'!C$3+SIN('data 2'!C$3)*COS('data 2'!C$3))/2-SIN('data 2'!C$3)^2/'data 2'!C$3)+E15*H15^2</f>
        <v>#DIV/0!</v>
      </c>
    </row>
    <row r="16" spans="1:10" x14ac:dyDescent="0.25">
      <c r="B16" s="26">
        <v>7</v>
      </c>
      <c r="C16" s="35" t="e">
        <f>web!C18</f>
        <v>#DIV/0!</v>
      </c>
      <c r="D16" s="57">
        <f>A$3</f>
        <v>0</v>
      </c>
      <c r="E16" s="57" t="e">
        <f t="shared" si="3"/>
        <v>#DIV/0!</v>
      </c>
      <c r="F16" s="3">
        <f>'data 2'!J34</f>
        <v>0</v>
      </c>
      <c r="G16" s="1" t="e">
        <f t="shared" si="1"/>
        <v>#DIV/0!</v>
      </c>
      <c r="H16" s="3" t="e">
        <f t="shared" si="0"/>
        <v>#DIV/0!</v>
      </c>
      <c r="I16" s="57" t="e">
        <f>'data 2'!M34</f>
        <v>#DIV/0!</v>
      </c>
      <c r="J16" s="38" t="e">
        <f>E16*I16^2/12+E16*H16^2</f>
        <v>#DIV/0!</v>
      </c>
    </row>
    <row r="17" spans="2:11" x14ac:dyDescent="0.25">
      <c r="B17" s="36" t="s">
        <v>75</v>
      </c>
      <c r="C17" s="94" t="e">
        <f>'web (2)'!C19</f>
        <v>#DIV/0!</v>
      </c>
      <c r="D17" s="57">
        <f t="shared" ref="D17:D23" si="4">A$3</f>
        <v>0</v>
      </c>
      <c r="E17" s="57" t="e">
        <f t="shared" si="3"/>
        <v>#DIV/0!</v>
      </c>
      <c r="F17" s="3" t="e">
        <f>moment!H27+('web (2)'!D6-'web (2)'!C19/2)*SIN(data!O6)</f>
        <v>#DIV/0!</v>
      </c>
      <c r="G17" s="1" t="e">
        <f t="shared" si="1"/>
        <v>#DIV/0!</v>
      </c>
      <c r="H17" s="3" t="e">
        <f t="shared" si="0"/>
        <v>#DIV/0!</v>
      </c>
      <c r="I17" s="93" t="e">
        <f>-C17*SIN(data!O6)</f>
        <v>#DIV/0!</v>
      </c>
      <c r="J17" s="38" t="e">
        <f>E17*I17^2/12+E17*H17^2</f>
        <v>#DIV/0!</v>
      </c>
    </row>
    <row r="18" spans="2:11" x14ac:dyDescent="0.25">
      <c r="B18" s="26">
        <v>8</v>
      </c>
      <c r="C18" s="35" t="e">
        <f>web!C20</f>
        <v>#DIV/0!</v>
      </c>
      <c r="D18" s="57">
        <f t="shared" si="4"/>
        <v>0</v>
      </c>
      <c r="E18" s="57" t="e">
        <f t="shared" si="3"/>
        <v>#DIV/0!</v>
      </c>
      <c r="F18" s="3">
        <f>'data 2'!J35</f>
        <v>0</v>
      </c>
      <c r="G18" s="1" t="e">
        <f t="shared" si="1"/>
        <v>#DIV/0!</v>
      </c>
      <c r="H18" s="3" t="e">
        <f t="shared" si="0"/>
        <v>#DIV/0!</v>
      </c>
      <c r="I18" s="57"/>
      <c r="J18" s="48" t="e">
        <f>D18*'data 2'!E$3^3*(('data 2'!C$3+SIN('data 2'!C$3)*COS('data 2'!C$3))/2-SIN('data 2'!C$3)^2/'data 2'!C$3)+E18*H18^2</f>
        <v>#DIV/0!</v>
      </c>
    </row>
    <row r="19" spans="2:11" x14ac:dyDescent="0.25">
      <c r="B19" s="26">
        <v>9</v>
      </c>
      <c r="C19" s="35" t="e">
        <f>web!C21</f>
        <v>#DIV/0!</v>
      </c>
      <c r="D19" s="57">
        <f t="shared" si="4"/>
        <v>0</v>
      </c>
      <c r="E19" s="57" t="e">
        <f t="shared" si="3"/>
        <v>#DIV/0!</v>
      </c>
      <c r="F19" s="3">
        <f>'data 2'!J36</f>
        <v>0</v>
      </c>
      <c r="G19" s="1" t="e">
        <f t="shared" si="1"/>
        <v>#DIV/0!</v>
      </c>
      <c r="H19" s="3" t="e">
        <f t="shared" si="0"/>
        <v>#DIV/0!</v>
      </c>
      <c r="I19" s="57" t="e">
        <f>'data 2'!M36</f>
        <v>#DIV/0!</v>
      </c>
      <c r="J19" s="38" t="e">
        <f>E19*I19^2/12+E19*H19^2</f>
        <v>#DIV/0!</v>
      </c>
    </row>
    <row r="20" spans="2:11" x14ac:dyDescent="0.25">
      <c r="B20" s="26">
        <v>10</v>
      </c>
      <c r="C20" s="35" t="e">
        <f>web!C22</f>
        <v>#DIV/0!</v>
      </c>
      <c r="D20" s="57">
        <f t="shared" si="4"/>
        <v>0</v>
      </c>
      <c r="E20" s="57" t="e">
        <f t="shared" si="3"/>
        <v>#DIV/0!</v>
      </c>
      <c r="F20" s="3">
        <f>'data 2'!J37</f>
        <v>0</v>
      </c>
      <c r="G20" s="1" t="e">
        <f t="shared" si="1"/>
        <v>#DIV/0!</v>
      </c>
      <c r="H20" s="3" t="e">
        <f t="shared" si="0"/>
        <v>#DIV/0!</v>
      </c>
      <c r="I20" s="57"/>
      <c r="J20" s="48" t="e">
        <f>D20*'data 2'!E$3^3*(('data 2'!D$3+SIN('data 2'!D$3)*COS('data 2'!D$3))/2-SIN('data 2'!D$3)^2/'data 2'!D$3)+E20*H20^2</f>
        <v>#DIV/0!</v>
      </c>
    </row>
    <row r="21" spans="2:11" x14ac:dyDescent="0.25">
      <c r="B21" s="26">
        <v>11</v>
      </c>
      <c r="C21" s="35" t="e">
        <f>web!C23</f>
        <v>#DIV/0!</v>
      </c>
      <c r="D21" s="57">
        <f t="shared" si="4"/>
        <v>0</v>
      </c>
      <c r="E21" s="57" t="e">
        <f t="shared" si="3"/>
        <v>#DIV/0!</v>
      </c>
      <c r="F21" s="3">
        <f>'data 2'!J38</f>
        <v>0</v>
      </c>
      <c r="G21" s="1" t="e">
        <f>E21*F21</f>
        <v>#DIV/0!</v>
      </c>
      <c r="H21" s="3" t="e">
        <f t="shared" si="0"/>
        <v>#DIV/0!</v>
      </c>
      <c r="I21" s="57" t="e">
        <f>'data 2'!M38</f>
        <v>#DIV/0!</v>
      </c>
      <c r="J21" s="38" t="e">
        <f>E21*I21^2/12+E21*H21^2</f>
        <v>#DIV/0!</v>
      </c>
    </row>
    <row r="22" spans="2:11" x14ac:dyDescent="0.25">
      <c r="B22" s="26">
        <v>12</v>
      </c>
      <c r="C22" s="35" t="e">
        <f>web!C24</f>
        <v>#DIV/0!</v>
      </c>
      <c r="D22" s="57">
        <f t="shared" si="4"/>
        <v>0</v>
      </c>
      <c r="E22" s="57" t="e">
        <f t="shared" si="3"/>
        <v>#DIV/0!</v>
      </c>
      <c r="F22" s="3" t="e">
        <f>'data 2'!J39</f>
        <v>#DIV/0!</v>
      </c>
      <c r="G22" s="1" t="e">
        <f t="shared" si="1"/>
        <v>#DIV/0!</v>
      </c>
      <c r="H22" s="3" t="e">
        <f t="shared" si="0"/>
        <v>#DIV/0!</v>
      </c>
      <c r="I22" s="57"/>
      <c r="J22" s="48" t="e">
        <f>D22*'data 2'!E$3^3*(('data 2'!D$3+SIN('data 2'!D$3)*COS('data 2'!D$3))/2-SIN('data 2'!D$3)^2/'data 2'!D$3)+E22*H22^2</f>
        <v>#DIV/0!</v>
      </c>
    </row>
    <row r="23" spans="2:11" x14ac:dyDescent="0.25">
      <c r="B23" s="26">
        <v>13</v>
      </c>
      <c r="C23" s="35" t="e">
        <f>web!C25</f>
        <v>#DIV/0!</v>
      </c>
      <c r="D23" s="57">
        <f t="shared" si="4"/>
        <v>0</v>
      </c>
      <c r="E23" s="57" t="e">
        <f>C23*D23</f>
        <v>#DIV/0!</v>
      </c>
      <c r="F23" s="3">
        <f>'data 2'!J40</f>
        <v>0</v>
      </c>
      <c r="G23" s="1" t="e">
        <f t="shared" si="1"/>
        <v>#DIV/0!</v>
      </c>
      <c r="H23" s="3" t="e">
        <f t="shared" si="0"/>
        <v>#DIV/0!</v>
      </c>
      <c r="I23" s="57">
        <f>'data 2'!M40</f>
        <v>0</v>
      </c>
      <c r="J23" s="38" t="e">
        <f>E23*I23^2/12+E23*H23^2</f>
        <v>#DIV/0!</v>
      </c>
    </row>
    <row r="24" spans="2:11" x14ac:dyDescent="0.25">
      <c r="B24" s="26"/>
      <c r="C24" s="1"/>
      <c r="D24" s="1"/>
      <c r="E24" s="3"/>
      <c r="F24" s="1"/>
      <c r="G24" s="3"/>
      <c r="H24" s="3"/>
      <c r="I24" s="1"/>
      <c r="J24" s="31"/>
    </row>
    <row r="27" spans="2:11" x14ac:dyDescent="0.25">
      <c r="B27" s="26" t="s">
        <v>52</v>
      </c>
      <c r="C27" s="9"/>
      <c r="D27" s="9"/>
      <c r="E27" s="3" t="e">
        <f>SUM(E9:E26)</f>
        <v>#DIV/0!</v>
      </c>
      <c r="G27" s="3" t="e">
        <f>SUM(G9:G26)</f>
        <v>#DIV/0!</v>
      </c>
      <c r="H27" s="3" t="e">
        <f>G27/E27</f>
        <v>#DIV/0!</v>
      </c>
      <c r="J27" s="31" t="e">
        <f>SUM(J9:J26)</f>
        <v>#DIV/0!</v>
      </c>
      <c r="K27" s="89" t="s">
        <v>77</v>
      </c>
    </row>
    <row r="28" spans="2:11" x14ac:dyDescent="0.25">
      <c r="E28" s="9" t="e">
        <f>E27*2</f>
        <v>#DIV/0!</v>
      </c>
      <c r="G28" s="9"/>
      <c r="H28" s="10" t="e">
        <f>data!I6-'moment (2)'!H27</f>
        <v>#DIV/0!</v>
      </c>
      <c r="J28" s="9" t="e">
        <f>J27*2</f>
        <v>#DIV/0!</v>
      </c>
      <c r="K28" s="89" t="s">
        <v>78</v>
      </c>
    </row>
    <row r="29" spans="2:11" x14ac:dyDescent="0.25">
      <c r="B29" s="9" t="s">
        <v>80</v>
      </c>
      <c r="C29" s="9" t="e">
        <f>J27/MAX(H27,H28)</f>
        <v>#DIV/0!</v>
      </c>
      <c r="D29" s="9" t="s">
        <v>77</v>
      </c>
      <c r="J29" s="9" t="e">
        <f>J28/data!H6</f>
        <v>#DIV/0!</v>
      </c>
      <c r="K29" s="89" t="s">
        <v>79</v>
      </c>
    </row>
    <row r="30" spans="2:11" x14ac:dyDescent="0.25">
      <c r="B30" s="9" t="s">
        <v>80</v>
      </c>
      <c r="C30" s="9" t="e">
        <f>2*C29</f>
        <v>#DIV/0!</v>
      </c>
      <c r="D30" s="9" t="s">
        <v>78</v>
      </c>
    </row>
    <row r="31" spans="2:11" x14ac:dyDescent="0.25">
      <c r="B31" s="9" t="s">
        <v>80</v>
      </c>
      <c r="C31" s="9" t="e">
        <f>C30/data!H6</f>
        <v>#DIV/0!</v>
      </c>
      <c r="D31" s="9" t="s">
        <v>81</v>
      </c>
    </row>
    <row r="32" spans="2:11" x14ac:dyDescent="0.25">
      <c r="B32" s="9"/>
      <c r="C32" s="9"/>
      <c r="D32" s="9"/>
    </row>
    <row r="33" spans="2:4" x14ac:dyDescent="0.25">
      <c r="B33" s="9" t="s">
        <v>82</v>
      </c>
      <c r="C33" s="9" t="s">
        <v>82</v>
      </c>
      <c r="D33" s="9"/>
    </row>
    <row r="34" spans="2:4" x14ac:dyDescent="0.25">
      <c r="B34" s="90" t="e">
        <f>D3*C31*1</f>
        <v>#DIV/0!</v>
      </c>
      <c r="C34" s="90" t="s">
        <v>83</v>
      </c>
      <c r="D34" s="91"/>
    </row>
    <row r="35" spans="2:4" x14ac:dyDescent="0.25">
      <c r="B35" s="92" t="e">
        <f>B34/1000</f>
        <v>#DIV/0!</v>
      </c>
      <c r="C35" t="s">
        <v>84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C5" sqref="C5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2" t="s">
        <v>38</v>
      </c>
      <c r="H4" s="53" t="s">
        <v>39</v>
      </c>
      <c r="I4" s="1" t="s">
        <v>40</v>
      </c>
      <c r="J4" s="54" t="s">
        <v>41</v>
      </c>
      <c r="K4" s="55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'data 2'!C8-'data 2'!C16-'data 2'!F16</f>
        <v>#DIV/0!</v>
      </c>
      <c r="C5" s="3" t="e">
        <f>flange!C5</f>
        <v>#DIV/0!</v>
      </c>
      <c r="D5" s="56">
        <f>'data 2'!L3</f>
        <v>0</v>
      </c>
      <c r="E5" s="3">
        <f>'data 2'!M3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MIN(D5,D5*('data 2'!K3-'moment (2)'!H27)/'moment (2)'!H27)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workbookViewId="0">
      <selection activeCell="D4" sqref="D4"/>
    </sheetView>
  </sheetViews>
  <sheetFormatPr baseColWidth="10" defaultRowHeight="15.75" x14ac:dyDescent="0.25"/>
  <cols>
    <col min="9" max="9" width="14.625" bestFit="1" customWidth="1"/>
  </cols>
  <sheetData>
    <row r="2" spans="2:9" ht="16.5" x14ac:dyDescent="0.3">
      <c r="B2" s="1" t="s">
        <v>47</v>
      </c>
      <c r="C2" s="1" t="s">
        <v>36</v>
      </c>
      <c r="D2" s="1" t="s">
        <v>1</v>
      </c>
      <c r="E2" s="1" t="s">
        <v>3</v>
      </c>
      <c r="F2" s="1" t="s">
        <v>2</v>
      </c>
      <c r="G2" s="9"/>
      <c r="H2" s="9"/>
      <c r="I2" s="9"/>
    </row>
    <row r="3" spans="2:9" x14ac:dyDescent="0.25">
      <c r="B3" s="3" t="e">
        <f>('data 2'!C28+'data 2'!C29+'data 2'!C30+'data 2'!C31/2)*2</f>
        <v>#DIV/0!</v>
      </c>
      <c r="C3" s="3" t="e">
        <f>flange!B5</f>
        <v>#DIV/0!</v>
      </c>
      <c r="D3" s="3" t="e">
        <f>flange!C5</f>
        <v>#DIV/0!</v>
      </c>
      <c r="E3" s="3">
        <f>'data 2'!M3</f>
        <v>0</v>
      </c>
      <c r="F3" s="56">
        <f>data!J6</f>
        <v>0</v>
      </c>
      <c r="G3" s="9"/>
      <c r="H3" s="9"/>
      <c r="I3" s="9"/>
    </row>
    <row r="4" spans="2:9" x14ac:dyDescent="0.25">
      <c r="B4" s="9"/>
      <c r="C4" s="9"/>
      <c r="D4" s="9"/>
      <c r="E4" s="9"/>
      <c r="F4" s="9"/>
      <c r="G4" s="9"/>
      <c r="H4" s="9"/>
      <c r="I4" s="9"/>
    </row>
    <row r="5" spans="2:9" ht="18.75" x14ac:dyDescent="0.3">
      <c r="B5" s="26" t="s">
        <v>48</v>
      </c>
      <c r="C5" s="26" t="s">
        <v>49</v>
      </c>
      <c r="D5" s="26" t="s">
        <v>29</v>
      </c>
      <c r="E5" s="26" t="s">
        <v>30</v>
      </c>
      <c r="F5" s="26" t="s">
        <v>31</v>
      </c>
      <c r="G5" s="26" t="s">
        <v>32</v>
      </c>
      <c r="H5" s="26" t="s">
        <v>33</v>
      </c>
      <c r="I5" s="26" t="s">
        <v>34</v>
      </c>
    </row>
    <row r="6" spans="2:9" x14ac:dyDescent="0.25">
      <c r="B6" s="26" t="s">
        <v>50</v>
      </c>
      <c r="C6" s="35" t="e">
        <f>15*D$3-'data 2'!C17</f>
        <v>#DIV/0!</v>
      </c>
      <c r="D6" s="35" t="e">
        <f>C6*$D$3</f>
        <v>#DIV/0!</v>
      </c>
      <c r="E6" s="35">
        <v>0</v>
      </c>
      <c r="F6" s="35" t="e">
        <f>D6*E6</f>
        <v>#DIV/0!</v>
      </c>
      <c r="G6" s="59" t="e">
        <f>$G$15-E6</f>
        <v>#DIV/0!</v>
      </c>
      <c r="H6" s="59" t="e">
        <f>D3</f>
        <v>#DIV/0!</v>
      </c>
      <c r="I6" s="78" t="e">
        <f>D6*H6^2/12+D6*G6^2</f>
        <v>#DIV/0!</v>
      </c>
    </row>
    <row r="7" spans="2:9" x14ac:dyDescent="0.25">
      <c r="B7" s="72">
        <v>2</v>
      </c>
      <c r="C7" s="73" t="e">
        <f>'data 2'!C31</f>
        <v>#DIV/0!</v>
      </c>
      <c r="D7" s="73" t="e">
        <f t="shared" ref="D7:D14" si="0">C7*$D$3</f>
        <v>#DIV/0!</v>
      </c>
      <c r="E7" s="73" t="e">
        <f>'data 2'!C25</f>
        <v>#DIV/0!</v>
      </c>
      <c r="F7" s="73" t="e">
        <f t="shared" ref="F7:F14" si="1">D7*E7</f>
        <v>#DIV/0!</v>
      </c>
      <c r="G7" s="74" t="e">
        <f t="shared" ref="G7:G14" si="2">$G$15-E7</f>
        <v>#DIV/0!</v>
      </c>
      <c r="H7" s="74"/>
      <c r="I7" s="79" t="e">
        <f>$D$3*'data 2'!E$3^3*(('data 2'!B$3+SIN('data 2'!B$3)*COS('data 2'!B$3))/2-SIN('data 2'!B$3)^2/'data 2'!B$3)+D7*G7^2</f>
        <v>#DIV/0!</v>
      </c>
    </row>
    <row r="8" spans="2:9" x14ac:dyDescent="0.25">
      <c r="B8" s="27">
        <v>3</v>
      </c>
      <c r="C8" s="76" t="e">
        <f>'data 2'!C30</f>
        <v>#DIV/0!</v>
      </c>
      <c r="D8" s="76" t="e">
        <f t="shared" si="0"/>
        <v>#DIV/0!</v>
      </c>
      <c r="E8" s="61">
        <f>'data 2'!D7/2</f>
        <v>0</v>
      </c>
      <c r="F8" s="76" t="e">
        <f t="shared" si="1"/>
        <v>#DIV/0!</v>
      </c>
      <c r="G8" s="77" t="e">
        <f t="shared" si="2"/>
        <v>#DIV/0!</v>
      </c>
      <c r="H8" s="77" t="e">
        <f>'data 2'!M30</f>
        <v>#DIV/0!</v>
      </c>
      <c r="I8" s="80" t="e">
        <f>D8*H8^2/12+D8*G8^2</f>
        <v>#DIV/0!</v>
      </c>
    </row>
    <row r="9" spans="2:9" x14ac:dyDescent="0.25">
      <c r="B9" s="72">
        <v>4</v>
      </c>
      <c r="C9" s="73" t="e">
        <f>'data 2'!C29</f>
        <v>#DIV/0!</v>
      </c>
      <c r="D9" s="73" t="e">
        <f t="shared" si="0"/>
        <v>#DIV/0!</v>
      </c>
      <c r="E9" s="75" t="e">
        <f>data!D10-'data 2'!C25</f>
        <v>#DIV/0!</v>
      </c>
      <c r="F9" s="73" t="e">
        <f t="shared" si="1"/>
        <v>#DIV/0!</v>
      </c>
      <c r="G9" s="74" t="e">
        <f t="shared" si="2"/>
        <v>#DIV/0!</v>
      </c>
      <c r="H9" s="74"/>
      <c r="I9" s="79" t="e">
        <f>$D$3*'data 2'!E$3^3*(('data 2'!B$3+SIN('data 2'!B$3)*COS('data 2'!B$3))/2-SIN('data 2'!B$3)^2/'data 2'!B$3)+D9*G9^2</f>
        <v>#DIV/0!</v>
      </c>
    </row>
    <row r="10" spans="2:9" x14ac:dyDescent="0.25">
      <c r="B10" s="26">
        <v>5</v>
      </c>
      <c r="C10" s="35" t="e">
        <f>'data 2'!C28*2</f>
        <v>#DIV/0!</v>
      </c>
      <c r="D10" s="35" t="e">
        <f t="shared" si="0"/>
        <v>#DIV/0!</v>
      </c>
      <c r="E10" s="61">
        <f>'data 2'!D7</f>
        <v>0</v>
      </c>
      <c r="F10" s="35" t="e">
        <f t="shared" si="1"/>
        <v>#DIV/0!</v>
      </c>
      <c r="G10" s="59" t="e">
        <f t="shared" si="2"/>
        <v>#DIV/0!</v>
      </c>
      <c r="H10" s="59" t="e">
        <f>D3</f>
        <v>#DIV/0!</v>
      </c>
      <c r="I10" s="78" t="e">
        <f>D10*H10^2/12+D10*G10^2</f>
        <v>#DIV/0!</v>
      </c>
    </row>
    <row r="11" spans="2:9" x14ac:dyDescent="0.25">
      <c r="B11" s="72">
        <v>6</v>
      </c>
      <c r="C11" s="73" t="e">
        <f>'data 2'!C29</f>
        <v>#DIV/0!</v>
      </c>
      <c r="D11" s="73" t="e">
        <f t="shared" si="0"/>
        <v>#DIV/0!</v>
      </c>
      <c r="E11" s="75" t="e">
        <f>E9</f>
        <v>#DIV/0!</v>
      </c>
      <c r="F11" s="73" t="e">
        <f t="shared" si="1"/>
        <v>#DIV/0!</v>
      </c>
      <c r="G11" s="74" t="e">
        <f t="shared" si="2"/>
        <v>#DIV/0!</v>
      </c>
      <c r="H11" s="74"/>
      <c r="I11" s="79" t="e">
        <f>I9</f>
        <v>#DIV/0!</v>
      </c>
    </row>
    <row r="12" spans="2:9" x14ac:dyDescent="0.25">
      <c r="B12" s="26">
        <v>7</v>
      </c>
      <c r="C12" s="76" t="e">
        <f>'data 2'!C30</f>
        <v>#DIV/0!</v>
      </c>
      <c r="D12" s="35" t="e">
        <f t="shared" si="0"/>
        <v>#DIV/0!</v>
      </c>
      <c r="E12" s="62">
        <f>E8</f>
        <v>0</v>
      </c>
      <c r="F12" s="35" t="e">
        <f t="shared" si="1"/>
        <v>#DIV/0!</v>
      </c>
      <c r="G12" s="59" t="e">
        <f t="shared" si="2"/>
        <v>#DIV/0!</v>
      </c>
      <c r="H12" s="59" t="e">
        <f>H8</f>
        <v>#DIV/0!</v>
      </c>
      <c r="I12" s="78" t="e">
        <f>D12*H12^2/12+D12*G12^2</f>
        <v>#DIV/0!</v>
      </c>
    </row>
    <row r="13" spans="2:9" x14ac:dyDescent="0.25">
      <c r="B13" s="72">
        <v>8</v>
      </c>
      <c r="C13" s="73" t="e">
        <f>'data 2'!C31</f>
        <v>#DIV/0!</v>
      </c>
      <c r="D13" s="73" t="e">
        <f t="shared" si="0"/>
        <v>#DIV/0!</v>
      </c>
      <c r="E13" s="75" t="e">
        <f>E7</f>
        <v>#DIV/0!</v>
      </c>
      <c r="F13" s="73" t="e">
        <f t="shared" si="1"/>
        <v>#DIV/0!</v>
      </c>
      <c r="G13" s="74" t="e">
        <f t="shared" si="2"/>
        <v>#DIV/0!</v>
      </c>
      <c r="H13" s="74"/>
      <c r="I13" s="79" t="e">
        <f>$D$3*'data 2'!E$3^3*(('data 2'!B$3+SIN('data 2'!B$3)*COS('data 2'!B$3))/2-SIN('data 2'!B$3)^2/'data 2'!B$3)+D13*G13^2</f>
        <v>#DIV/0!</v>
      </c>
    </row>
    <row r="14" spans="2:9" x14ac:dyDescent="0.25">
      <c r="B14" s="26" t="s">
        <v>51</v>
      </c>
      <c r="C14" s="35" t="e">
        <f>C6</f>
        <v>#DIV/0!</v>
      </c>
      <c r="D14" s="35" t="e">
        <f t="shared" si="0"/>
        <v>#DIV/0!</v>
      </c>
      <c r="E14" s="35">
        <f>E6</f>
        <v>0</v>
      </c>
      <c r="F14" s="35" t="e">
        <f t="shared" si="1"/>
        <v>#DIV/0!</v>
      </c>
      <c r="G14" s="59" t="e">
        <f t="shared" si="2"/>
        <v>#DIV/0!</v>
      </c>
      <c r="H14" s="59" t="e">
        <f>H6</f>
        <v>#DIV/0!</v>
      </c>
      <c r="I14" s="78" t="e">
        <f>D14*H14^2/12+D14*G14^2</f>
        <v>#DIV/0!</v>
      </c>
    </row>
    <row r="15" spans="2:9" x14ac:dyDescent="0.25">
      <c r="B15" s="63" t="s">
        <v>52</v>
      </c>
      <c r="C15" s="62"/>
      <c r="D15" s="64" t="e">
        <f>SUM(D6:D14)</f>
        <v>#DIV/0!</v>
      </c>
      <c r="E15" s="65"/>
      <c r="F15" s="35" t="e">
        <f>SUM(F6:F14)</f>
        <v>#DIV/0!</v>
      </c>
      <c r="G15" s="65" t="e">
        <f>F15/D15</f>
        <v>#DIV/0!</v>
      </c>
      <c r="H15" s="65"/>
      <c r="I15" s="78" t="e">
        <f>SUM(I6:I14)</f>
        <v>#DIV/0!</v>
      </c>
    </row>
    <row r="16" spans="2:9" x14ac:dyDescent="0.25">
      <c r="B16" s="66"/>
      <c r="C16" s="66"/>
      <c r="D16" s="66"/>
      <c r="E16" s="66"/>
      <c r="F16" s="66"/>
      <c r="G16" s="66"/>
      <c r="H16" s="67"/>
      <c r="I16" s="67"/>
    </row>
    <row r="17" spans="2:9" ht="16.5" x14ac:dyDescent="0.3">
      <c r="B17" s="26" t="s">
        <v>48</v>
      </c>
      <c r="C17" s="26" t="s">
        <v>49</v>
      </c>
      <c r="D17" s="26" t="s">
        <v>29</v>
      </c>
      <c r="E17" s="26"/>
      <c r="F17" s="26"/>
      <c r="G17" s="26"/>
      <c r="H17" s="26"/>
      <c r="I17" s="26"/>
    </row>
    <row r="18" spans="2:9" x14ac:dyDescent="0.25">
      <c r="B18" s="26" t="s">
        <v>50</v>
      </c>
      <c r="C18" s="94" t="e">
        <f>'flange (3)'!O5-'data 2'!C17</f>
        <v>#DIV/0!</v>
      </c>
      <c r="D18" s="35" t="e">
        <f>C18*$D$3</f>
        <v>#DIV/0!</v>
      </c>
      <c r="E18" s="35"/>
      <c r="F18" s="35"/>
      <c r="G18" s="59"/>
      <c r="H18" s="59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59"/>
      <c r="H19" s="59"/>
      <c r="I19" s="60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1"/>
      <c r="F20" s="35"/>
      <c r="G20" s="59"/>
      <c r="H20" s="59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2"/>
      <c r="F21" s="35"/>
      <c r="G21" s="59"/>
      <c r="H21" s="59"/>
      <c r="I21" s="60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1"/>
      <c r="F22" s="35"/>
      <c r="G22" s="59"/>
      <c r="H22" s="59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2"/>
      <c r="F23" s="35"/>
      <c r="G23" s="59"/>
      <c r="H23" s="59"/>
      <c r="I23" s="60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2"/>
      <c r="F24" s="35"/>
      <c r="G24" s="59"/>
      <c r="H24" s="59"/>
      <c r="I24" s="60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2"/>
      <c r="F25" s="35"/>
      <c r="G25" s="59"/>
      <c r="H25" s="59"/>
      <c r="I25" s="60"/>
    </row>
    <row r="26" spans="2:9" x14ac:dyDescent="0.25">
      <c r="B26" s="26" t="s">
        <v>51</v>
      </c>
      <c r="C26" s="35" t="e">
        <f>C18</f>
        <v>#DIV/0!</v>
      </c>
      <c r="D26" s="35" t="e">
        <f t="shared" si="3"/>
        <v>#DIV/0!</v>
      </c>
      <c r="E26" s="35"/>
      <c r="F26" s="35"/>
      <c r="G26" s="59"/>
      <c r="H26" s="59"/>
      <c r="I26" s="68"/>
    </row>
    <row r="27" spans="2:9" x14ac:dyDescent="0.25">
      <c r="B27" s="63" t="s">
        <v>52</v>
      </c>
      <c r="C27" s="62"/>
      <c r="D27" s="64" t="e">
        <f>SUM(D18:D26)</f>
        <v>#DIV/0!</v>
      </c>
      <c r="E27" s="65"/>
      <c r="F27" s="35"/>
      <c r="G27" s="65"/>
      <c r="H27" s="65"/>
      <c r="I27" s="3"/>
    </row>
    <row r="28" spans="2:9" x14ac:dyDescent="0.25">
      <c r="B28" s="66"/>
      <c r="C28" s="66"/>
      <c r="D28" s="66"/>
      <c r="E28" s="66"/>
      <c r="F28" s="66"/>
      <c r="G28" s="66"/>
      <c r="H28" s="67"/>
      <c r="I28" s="67"/>
    </row>
    <row r="29" spans="2:9" x14ac:dyDescent="0.25">
      <c r="B29" s="66"/>
      <c r="C29" s="66"/>
      <c r="D29" s="66"/>
      <c r="E29" s="66"/>
      <c r="F29" s="66"/>
      <c r="G29" s="66"/>
      <c r="H29" s="67"/>
      <c r="I29" s="67"/>
    </row>
    <row r="30" spans="2:9" ht="16.5" x14ac:dyDescent="0.3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69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60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2</v>
      </c>
      <c r="C36" s="1" t="s">
        <v>61</v>
      </c>
      <c r="D36" s="1" t="s">
        <v>62</v>
      </c>
      <c r="E36" s="1" t="s">
        <v>63</v>
      </c>
    </row>
    <row r="37" spans="2:9" x14ac:dyDescent="0.25">
      <c r="B37" s="60">
        <f>'data 2'!L3</f>
        <v>0</v>
      </c>
      <c r="C37" s="57" t="e">
        <f>(B37/B34)^0.5</f>
        <v>#DIV/0!</v>
      </c>
      <c r="D37" s="82" t="e">
        <f>IF(C37&lt;0.65,1,(1.47-0.723*C37))</f>
        <v>#DIV/0!</v>
      </c>
      <c r="E37" s="82" t="e">
        <f>IF(C37&gt;1.38,0.66/C37,D37)</f>
        <v>#DIV/0!</v>
      </c>
    </row>
    <row r="39" spans="2:9" ht="16.5" x14ac:dyDescent="0.3">
      <c r="B39" s="3" t="s">
        <v>64</v>
      </c>
      <c r="C39" s="26" t="s">
        <v>65</v>
      </c>
      <c r="E39" t="s">
        <v>66</v>
      </c>
    </row>
    <row r="40" spans="2:9" x14ac:dyDescent="0.25">
      <c r="B40" s="70" t="e">
        <f>E37</f>
        <v>#DIV/0!</v>
      </c>
      <c r="C40" s="35" t="e">
        <f>B40*D3</f>
        <v>#DIV/0!</v>
      </c>
      <c r="E40" s="28" t="e">
        <f>B37/'flange (3)'!K5/'flange (3)'!J5</f>
        <v>#DIV/0!</v>
      </c>
      <c r="G40" s="71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C5" sqref="C5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 t="s">
        <v>67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2" t="s">
        <v>38</v>
      </c>
      <c r="H4" s="53" t="s">
        <v>39</v>
      </c>
      <c r="I4" s="1" t="s">
        <v>40</v>
      </c>
      <c r="J4" s="54" t="s">
        <v>41</v>
      </c>
      <c r="K4" s="55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flange!B5</f>
        <v>#DIV/0!</v>
      </c>
      <c r="C5" s="3" t="e">
        <f>flange!C5</f>
        <v>#DIV/0!</v>
      </c>
      <c r="D5" s="3">
        <f>flange!D5</f>
        <v>0</v>
      </c>
      <c r="E5" s="3">
        <f>flange!E5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D5*'stiffner (3)'!B40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"/>
  <sheetViews>
    <sheetView workbookViewId="0">
      <selection activeCell="E41" sqref="E41"/>
    </sheetView>
  </sheetViews>
  <sheetFormatPr baseColWidth="10" defaultRowHeight="15.75" x14ac:dyDescent="0.25"/>
  <cols>
    <col min="9" max="9" width="14.625" bestFit="1" customWidth="1"/>
  </cols>
  <sheetData>
    <row r="2" spans="2:11" ht="16.5" x14ac:dyDescent="0.3">
      <c r="B2" s="1" t="s">
        <v>47</v>
      </c>
      <c r="C2" s="1" t="s">
        <v>36</v>
      </c>
      <c r="D2" s="1" t="s">
        <v>1</v>
      </c>
      <c r="E2" s="1" t="s">
        <v>3</v>
      </c>
      <c r="F2" s="1" t="s">
        <v>2</v>
      </c>
      <c r="G2" s="9"/>
      <c r="H2" s="9"/>
      <c r="I2" s="9"/>
      <c r="K2" s="54" t="s">
        <v>41</v>
      </c>
    </row>
    <row r="3" spans="2:11" x14ac:dyDescent="0.25">
      <c r="B3" s="3" t="e">
        <f>stiffner!B3</f>
        <v>#DIV/0!</v>
      </c>
      <c r="C3" s="3" t="e">
        <f>stiffner!C3</f>
        <v>#DIV/0!</v>
      </c>
      <c r="D3" s="3" t="e">
        <f>stiffner!D3</f>
        <v>#DIV/0!</v>
      </c>
      <c r="E3" s="3">
        <f>stiffner!E3</f>
        <v>0</v>
      </c>
      <c r="F3" s="56">
        <f>data!J6</f>
        <v>0</v>
      </c>
      <c r="G3" s="9"/>
      <c r="H3" s="9"/>
      <c r="I3" s="9"/>
      <c r="K3" s="57" t="e">
        <f>F3*((data!I6-stiffner!G15-'moment (2)'!H27)/'moment (2)'!H27)</f>
        <v>#DIV/0!</v>
      </c>
    </row>
    <row r="4" spans="2:11" x14ac:dyDescent="0.25">
      <c r="B4" s="9"/>
      <c r="C4" s="9"/>
      <c r="D4" s="9"/>
      <c r="E4" s="9"/>
      <c r="F4" s="9"/>
      <c r="G4" s="9"/>
      <c r="H4" s="9"/>
      <c r="I4" s="9"/>
    </row>
    <row r="5" spans="2:11" ht="18.75" x14ac:dyDescent="0.3">
      <c r="B5" s="26" t="s">
        <v>48</v>
      </c>
      <c r="C5" s="26" t="s">
        <v>49</v>
      </c>
      <c r="D5" s="26" t="s">
        <v>29</v>
      </c>
      <c r="E5" s="26" t="s">
        <v>30</v>
      </c>
      <c r="F5" s="26" t="s">
        <v>31</v>
      </c>
      <c r="G5" s="26" t="s">
        <v>32</v>
      </c>
      <c r="H5" s="26" t="s">
        <v>33</v>
      </c>
      <c r="I5" s="26" t="s">
        <v>34</v>
      </c>
    </row>
    <row r="6" spans="2:11" x14ac:dyDescent="0.25">
      <c r="B6" s="26" t="s">
        <v>50</v>
      </c>
      <c r="C6" s="38" t="e">
        <f>stiffner!C6</f>
        <v>#DIV/0!</v>
      </c>
      <c r="D6" s="35" t="e">
        <f>C6*$D$3</f>
        <v>#DIV/0!</v>
      </c>
      <c r="E6" s="38">
        <f>stiffner!E6</f>
        <v>0</v>
      </c>
      <c r="F6" s="35" t="e">
        <f>D6*E6</f>
        <v>#DIV/0!</v>
      </c>
      <c r="G6" s="59" t="e">
        <f>$G$15-E6</f>
        <v>#DIV/0!</v>
      </c>
      <c r="H6" s="38" t="e">
        <f>stiffner!H6</f>
        <v>#DIV/0!</v>
      </c>
      <c r="I6" s="38" t="e">
        <f>stiffner!I6</f>
        <v>#DIV/0!</v>
      </c>
    </row>
    <row r="7" spans="2:11" x14ac:dyDescent="0.25">
      <c r="B7" s="72">
        <v>2</v>
      </c>
      <c r="C7" s="83" t="e">
        <f>stiffner!C7</f>
        <v>#DIV/0!</v>
      </c>
      <c r="D7" s="73" t="e">
        <f t="shared" ref="D7:D14" si="0">C7*$D$3</f>
        <v>#DIV/0!</v>
      </c>
      <c r="E7" s="83" t="e">
        <f>stiffner!E7</f>
        <v>#DIV/0!</v>
      </c>
      <c r="F7" s="73" t="e">
        <f t="shared" ref="F7:F14" si="1">D7*E7</f>
        <v>#DIV/0!</v>
      </c>
      <c r="G7" s="74" t="e">
        <f t="shared" ref="G7:G14" si="2">$G$15-E7</f>
        <v>#DIV/0!</v>
      </c>
      <c r="H7" s="83">
        <f>stiffner!H7</f>
        <v>0</v>
      </c>
      <c r="I7" s="83" t="e">
        <f>stiffner!I7</f>
        <v>#DIV/0!</v>
      </c>
    </row>
    <row r="8" spans="2:11" x14ac:dyDescent="0.25">
      <c r="B8" s="27">
        <v>3</v>
      </c>
      <c r="C8" s="38" t="e">
        <f>stiffner!C8</f>
        <v>#DIV/0!</v>
      </c>
      <c r="D8" s="76" t="e">
        <f t="shared" si="0"/>
        <v>#DIV/0!</v>
      </c>
      <c r="E8" s="38">
        <f>stiffner!E8</f>
        <v>0</v>
      </c>
      <c r="F8" s="76" t="e">
        <f t="shared" si="1"/>
        <v>#DIV/0!</v>
      </c>
      <c r="G8" s="77" t="e">
        <f t="shared" si="2"/>
        <v>#DIV/0!</v>
      </c>
      <c r="H8" s="38" t="e">
        <f>stiffner!H8</f>
        <v>#DIV/0!</v>
      </c>
      <c r="I8" s="38" t="e">
        <f>stiffner!I8</f>
        <v>#DIV/0!</v>
      </c>
    </row>
    <row r="9" spans="2:11" x14ac:dyDescent="0.25">
      <c r="B9" s="72">
        <v>4</v>
      </c>
      <c r="C9" s="83" t="e">
        <f>stiffner!C9</f>
        <v>#DIV/0!</v>
      </c>
      <c r="D9" s="73" t="e">
        <f t="shared" si="0"/>
        <v>#DIV/0!</v>
      </c>
      <c r="E9" s="83" t="e">
        <f>stiffner!E9</f>
        <v>#DIV/0!</v>
      </c>
      <c r="F9" s="73" t="e">
        <f t="shared" si="1"/>
        <v>#DIV/0!</v>
      </c>
      <c r="G9" s="74" t="e">
        <f t="shared" si="2"/>
        <v>#DIV/0!</v>
      </c>
      <c r="H9" s="83">
        <f>stiffner!H9</f>
        <v>0</v>
      </c>
      <c r="I9" s="83" t="e">
        <f>stiffner!I9</f>
        <v>#DIV/0!</v>
      </c>
    </row>
    <row r="10" spans="2:11" x14ac:dyDescent="0.25">
      <c r="B10" s="26">
        <v>5</v>
      </c>
      <c r="C10" s="38" t="e">
        <f>stiffner!C10</f>
        <v>#DIV/0!</v>
      </c>
      <c r="D10" s="35" t="e">
        <f t="shared" si="0"/>
        <v>#DIV/0!</v>
      </c>
      <c r="E10" s="38">
        <f>stiffner!E10</f>
        <v>0</v>
      </c>
      <c r="F10" s="35" t="e">
        <f t="shared" si="1"/>
        <v>#DIV/0!</v>
      </c>
      <c r="G10" s="59" t="e">
        <f t="shared" si="2"/>
        <v>#DIV/0!</v>
      </c>
      <c r="H10" s="38" t="e">
        <f>stiffner!H10</f>
        <v>#DIV/0!</v>
      </c>
      <c r="I10" s="38" t="e">
        <f>stiffner!I10</f>
        <v>#DIV/0!</v>
      </c>
    </row>
    <row r="11" spans="2:11" x14ac:dyDescent="0.25">
      <c r="B11" s="72">
        <v>6</v>
      </c>
      <c r="C11" s="83" t="e">
        <f>stiffner!C11</f>
        <v>#DIV/0!</v>
      </c>
      <c r="D11" s="73" t="e">
        <f t="shared" si="0"/>
        <v>#DIV/0!</v>
      </c>
      <c r="E11" s="83" t="e">
        <f>stiffner!E11</f>
        <v>#DIV/0!</v>
      </c>
      <c r="F11" s="73" t="e">
        <f t="shared" si="1"/>
        <v>#DIV/0!</v>
      </c>
      <c r="G11" s="74" t="e">
        <f t="shared" si="2"/>
        <v>#DIV/0!</v>
      </c>
      <c r="H11" s="83">
        <f>stiffner!H11</f>
        <v>0</v>
      </c>
      <c r="I11" s="83" t="e">
        <f>stiffner!I11</f>
        <v>#DIV/0!</v>
      </c>
    </row>
    <row r="12" spans="2:11" x14ac:dyDescent="0.25">
      <c r="B12" s="26">
        <v>7</v>
      </c>
      <c r="C12" s="38" t="e">
        <f>stiffner!C12</f>
        <v>#DIV/0!</v>
      </c>
      <c r="D12" s="35" t="e">
        <f t="shared" si="0"/>
        <v>#DIV/0!</v>
      </c>
      <c r="E12" s="38">
        <f>stiffner!E12</f>
        <v>0</v>
      </c>
      <c r="F12" s="35" t="e">
        <f t="shared" si="1"/>
        <v>#DIV/0!</v>
      </c>
      <c r="G12" s="59" t="e">
        <f t="shared" si="2"/>
        <v>#DIV/0!</v>
      </c>
      <c r="H12" s="38" t="e">
        <f>stiffner!H12</f>
        <v>#DIV/0!</v>
      </c>
      <c r="I12" s="38" t="e">
        <f>stiffner!I12</f>
        <v>#DIV/0!</v>
      </c>
    </row>
    <row r="13" spans="2:11" x14ac:dyDescent="0.25">
      <c r="B13" s="72">
        <v>8</v>
      </c>
      <c r="C13" s="83" t="e">
        <f>stiffner!C13</f>
        <v>#DIV/0!</v>
      </c>
      <c r="D13" s="73" t="e">
        <f t="shared" si="0"/>
        <v>#DIV/0!</v>
      </c>
      <c r="E13" s="83" t="e">
        <f>stiffner!E13</f>
        <v>#DIV/0!</v>
      </c>
      <c r="F13" s="73" t="e">
        <f t="shared" si="1"/>
        <v>#DIV/0!</v>
      </c>
      <c r="G13" s="74" t="e">
        <f t="shared" si="2"/>
        <v>#DIV/0!</v>
      </c>
      <c r="H13" s="83">
        <f>stiffner!H13</f>
        <v>0</v>
      </c>
      <c r="I13" s="83" t="e">
        <f>stiffner!I13</f>
        <v>#DIV/0!</v>
      </c>
    </row>
    <row r="14" spans="2:11" x14ac:dyDescent="0.25">
      <c r="B14" s="26" t="s">
        <v>51</v>
      </c>
      <c r="C14" s="38" t="e">
        <f>stiffner!C14</f>
        <v>#DIV/0!</v>
      </c>
      <c r="D14" s="35" t="e">
        <f t="shared" si="0"/>
        <v>#DIV/0!</v>
      </c>
      <c r="E14" s="38">
        <f>stiffner!E14</f>
        <v>0</v>
      </c>
      <c r="F14" s="35" t="e">
        <f t="shared" si="1"/>
        <v>#DIV/0!</v>
      </c>
      <c r="G14" s="59" t="e">
        <f t="shared" si="2"/>
        <v>#DIV/0!</v>
      </c>
      <c r="H14" s="38" t="e">
        <f>stiffner!H14</f>
        <v>#DIV/0!</v>
      </c>
      <c r="I14" s="38" t="e">
        <f>stiffner!I14</f>
        <v>#DIV/0!</v>
      </c>
    </row>
    <row r="15" spans="2:11" x14ac:dyDescent="0.25">
      <c r="B15" s="63" t="s">
        <v>52</v>
      </c>
      <c r="C15" s="62"/>
      <c r="D15" s="64" t="e">
        <f>SUM(D6:D14)</f>
        <v>#DIV/0!</v>
      </c>
      <c r="E15" s="65"/>
      <c r="F15" s="35" t="e">
        <f>SUM(F6:F14)</f>
        <v>#DIV/0!</v>
      </c>
      <c r="G15" s="65" t="e">
        <f>F15/D15</f>
        <v>#DIV/0!</v>
      </c>
      <c r="H15" s="65"/>
      <c r="I15" s="78" t="e">
        <f>SUM(I6:I14)</f>
        <v>#DIV/0!</v>
      </c>
    </row>
    <row r="16" spans="2:11" x14ac:dyDescent="0.25">
      <c r="B16" s="66"/>
      <c r="C16" s="66"/>
      <c r="D16" s="66"/>
      <c r="E16" s="66"/>
      <c r="F16" s="66"/>
      <c r="G16" s="66"/>
      <c r="H16" s="67"/>
      <c r="I16" s="67"/>
    </row>
    <row r="17" spans="2:9" ht="16.5" x14ac:dyDescent="0.3">
      <c r="B17" s="26" t="s">
        <v>48</v>
      </c>
      <c r="C17" s="26" t="s">
        <v>49</v>
      </c>
      <c r="D17" s="26" t="s">
        <v>29</v>
      </c>
      <c r="E17" s="26"/>
      <c r="F17" s="26"/>
      <c r="G17" s="26"/>
      <c r="H17" s="26"/>
      <c r="I17" s="26"/>
    </row>
    <row r="18" spans="2:9" x14ac:dyDescent="0.25">
      <c r="B18" s="26" t="s">
        <v>50</v>
      </c>
      <c r="C18" s="35" t="e">
        <f>'flangebis (3)'!O5-'data 2'!C17</f>
        <v>#DIV/0!</v>
      </c>
      <c r="D18" s="35" t="e">
        <f>C18*$D$3</f>
        <v>#DIV/0!</v>
      </c>
      <c r="E18" s="35"/>
      <c r="F18" s="35"/>
      <c r="G18" s="59"/>
      <c r="H18" s="59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59"/>
      <c r="H19" s="59"/>
      <c r="I19" s="60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1"/>
      <c r="F20" s="35"/>
      <c r="G20" s="59"/>
      <c r="H20" s="59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2"/>
      <c r="F21" s="35"/>
      <c r="G21" s="59"/>
      <c r="H21" s="59"/>
      <c r="I21" s="60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1"/>
      <c r="F22" s="35"/>
      <c r="G22" s="59"/>
      <c r="H22" s="59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2"/>
      <c r="F23" s="35"/>
      <c r="G23" s="59"/>
      <c r="H23" s="59"/>
      <c r="I23" s="60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2"/>
      <c r="F24" s="35"/>
      <c r="G24" s="59"/>
      <c r="H24" s="59"/>
      <c r="I24" s="60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2"/>
      <c r="F25" s="35"/>
      <c r="G25" s="59"/>
      <c r="H25" s="59"/>
      <c r="I25" s="60"/>
    </row>
    <row r="26" spans="2:9" x14ac:dyDescent="0.25">
      <c r="B26" s="26" t="s">
        <v>51</v>
      </c>
      <c r="C26" s="35" t="e">
        <f>C18</f>
        <v>#DIV/0!</v>
      </c>
      <c r="D26" s="35" t="e">
        <f t="shared" si="3"/>
        <v>#DIV/0!</v>
      </c>
      <c r="E26" s="35"/>
      <c r="F26" s="35"/>
      <c r="G26" s="59"/>
      <c r="H26" s="59"/>
      <c r="I26" s="68"/>
    </row>
    <row r="27" spans="2:9" x14ac:dyDescent="0.25">
      <c r="B27" s="63" t="s">
        <v>52</v>
      </c>
      <c r="C27" s="62"/>
      <c r="D27" s="64" t="e">
        <f>SUM(D18:D26)</f>
        <v>#DIV/0!</v>
      </c>
      <c r="E27" s="65"/>
      <c r="F27" s="35"/>
      <c r="G27" s="65"/>
      <c r="H27" s="65"/>
      <c r="I27" s="3"/>
    </row>
    <row r="28" spans="2:9" x14ac:dyDescent="0.25">
      <c r="B28" s="66"/>
      <c r="C28" s="66"/>
      <c r="D28" s="66"/>
      <c r="E28" s="66"/>
      <c r="F28" s="66"/>
      <c r="G28" s="66"/>
      <c r="H28" s="67"/>
      <c r="I28" s="67"/>
    </row>
    <row r="29" spans="2:9" x14ac:dyDescent="0.25">
      <c r="B29" s="66"/>
      <c r="C29" s="66"/>
      <c r="D29" s="66"/>
      <c r="E29" s="66"/>
      <c r="F29" s="66"/>
      <c r="G29" s="66"/>
      <c r="H29" s="67"/>
      <c r="I29" s="67"/>
    </row>
    <row r="30" spans="2:9" ht="16.5" x14ac:dyDescent="0.3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69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60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2</v>
      </c>
      <c r="C36" s="1" t="s">
        <v>61</v>
      </c>
      <c r="D36" s="1" t="s">
        <v>62</v>
      </c>
      <c r="E36" s="1" t="s">
        <v>63</v>
      </c>
    </row>
    <row r="37" spans="2:9" x14ac:dyDescent="0.25">
      <c r="B37" s="60">
        <f>'data 2'!L3</f>
        <v>0</v>
      </c>
      <c r="C37" s="57" t="e">
        <f>(B37/B34)^0.5</f>
        <v>#DIV/0!</v>
      </c>
      <c r="D37" s="82" t="e">
        <f>IF(C37&lt;0.65,1,(1.47-0.723*C37))</f>
        <v>#DIV/0!</v>
      </c>
      <c r="E37" s="82" t="e">
        <f>IF(C37&gt;1.38,0.66/C37,D37)</f>
        <v>#DIV/0!</v>
      </c>
    </row>
    <row r="39" spans="2:9" ht="16.5" x14ac:dyDescent="0.3">
      <c r="B39" s="3" t="s">
        <v>64</v>
      </c>
      <c r="C39" s="26" t="s">
        <v>65</v>
      </c>
      <c r="E39" t="s">
        <v>66</v>
      </c>
    </row>
    <row r="40" spans="2:9" x14ac:dyDescent="0.25">
      <c r="B40" s="70" t="e">
        <f>E37</f>
        <v>#DIV/0!</v>
      </c>
      <c r="C40" s="35" t="e">
        <f>B40*D3</f>
        <v>#DIV/0!</v>
      </c>
      <c r="E40" s="28" t="e">
        <f>B37/'flange (3)'!K5/'flange (3)'!J5</f>
        <v>#DIV/0!</v>
      </c>
      <c r="G40" s="71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workbookViewId="0">
      <selection activeCell="B4" sqref="B4"/>
    </sheetView>
  </sheetViews>
  <sheetFormatPr baseColWidth="10" defaultRowHeight="15.75" x14ac:dyDescent="0.25"/>
  <sheetData>
    <row r="2" spans="2:8" ht="16.5" x14ac:dyDescent="0.3">
      <c r="B2" s="1" t="s">
        <v>1</v>
      </c>
      <c r="C2" s="1" t="s">
        <v>3</v>
      </c>
      <c r="D2" s="1" t="s">
        <v>2</v>
      </c>
      <c r="E2" s="55" t="s">
        <v>42</v>
      </c>
      <c r="F2" s="54" t="s">
        <v>41</v>
      </c>
      <c r="G2" s="1" t="s">
        <v>68</v>
      </c>
      <c r="H2" s="1" t="s">
        <v>69</v>
      </c>
    </row>
    <row r="3" spans="2:8" x14ac:dyDescent="0.25">
      <c r="B3" s="10">
        <f>web!B3</f>
        <v>0</v>
      </c>
      <c r="C3" s="10">
        <f>data!K6</f>
        <v>0</v>
      </c>
      <c r="D3" s="10">
        <f>data!J6</f>
        <v>0</v>
      </c>
      <c r="E3" s="9">
        <f>flange!K5</f>
        <v>1</v>
      </c>
      <c r="F3" s="9" t="e">
        <f>'flange (3)'!J5</f>
        <v>#DIV/0!</v>
      </c>
      <c r="G3" s="10" t="e">
        <f>'data 2'!K3-'moment (2)'!H27</f>
        <v>#DIV/0!</v>
      </c>
      <c r="H3" s="9" t="e">
        <f>G3/SIN('data 2'!C3)-'data 2'!F16</f>
        <v>#DIV/0!</v>
      </c>
    </row>
    <row r="5" spans="2:8" ht="16.5" x14ac:dyDescent="0.3">
      <c r="B5" s="1" t="s">
        <v>70</v>
      </c>
      <c r="C5" s="1" t="s">
        <v>71</v>
      </c>
      <c r="D5" s="1" t="s">
        <v>72</v>
      </c>
      <c r="E5" s="1" t="s">
        <v>73</v>
      </c>
      <c r="F5" s="9" t="s">
        <v>74</v>
      </c>
    </row>
    <row r="6" spans="2:8" x14ac:dyDescent="0.25">
      <c r="B6" s="68" t="e">
        <f>0.95*B3*(C3/F3/E3)^0.5</f>
        <v>#DIV/0!</v>
      </c>
      <c r="C6" s="68" t="e">
        <f>B6</f>
        <v>#DIV/0!</v>
      </c>
      <c r="D6" s="3" t="e">
        <f>1.5*C6</f>
        <v>#DIV/0!</v>
      </c>
      <c r="E6" s="10" t="e">
        <f>C6+D6</f>
        <v>#DIV/0!</v>
      </c>
      <c r="F6" s="9"/>
    </row>
    <row r="10" spans="2:8" ht="18.75" x14ac:dyDescent="0.3">
      <c r="B10" s="1" t="s">
        <v>4</v>
      </c>
      <c r="C10" s="26" t="s">
        <v>49</v>
      </c>
      <c r="D10" s="26" t="s">
        <v>29</v>
      </c>
      <c r="E10" s="26" t="s">
        <v>30</v>
      </c>
      <c r="F10" s="26" t="s">
        <v>31</v>
      </c>
    </row>
    <row r="11" spans="2:8" x14ac:dyDescent="0.25">
      <c r="B11" s="1">
        <v>1</v>
      </c>
      <c r="C11" s="85" t="e">
        <f>'data 2'!C28</f>
        <v>#DIV/0!</v>
      </c>
    </row>
    <row r="12" spans="2:8" x14ac:dyDescent="0.25">
      <c r="B12" s="1">
        <v>2</v>
      </c>
      <c r="C12" s="85" t="e">
        <f>'data 2'!C29</f>
        <v>#DIV/0!</v>
      </c>
    </row>
    <row r="13" spans="2:8" x14ac:dyDescent="0.25">
      <c r="B13" s="1">
        <v>3</v>
      </c>
      <c r="C13" s="85" t="e">
        <f>'data 2'!C30</f>
        <v>#DIV/0!</v>
      </c>
    </row>
    <row r="14" spans="2:8" x14ac:dyDescent="0.25">
      <c r="B14" s="1">
        <v>4</v>
      </c>
      <c r="C14" s="85" t="e">
        <f>'data 2'!C31</f>
        <v>#DIV/0!</v>
      </c>
    </row>
    <row r="15" spans="2:8" x14ac:dyDescent="0.25">
      <c r="B15" s="1">
        <v>51</v>
      </c>
      <c r="C15" s="85" t="e">
        <f>'flangebis (3)'!O5-'data 2'!C17</f>
        <v>#DIV/0!</v>
      </c>
    </row>
    <row r="16" spans="2:8" x14ac:dyDescent="0.25">
      <c r="B16" s="1">
        <v>52</v>
      </c>
      <c r="C16" s="85" t="e">
        <f>'flange (3)'!O5-'data 2'!F17</f>
        <v>#DIV/0!</v>
      </c>
    </row>
    <row r="17" spans="2:3" x14ac:dyDescent="0.25">
      <c r="B17" s="1">
        <v>6</v>
      </c>
      <c r="C17" s="85" t="e">
        <f>'data 2'!C33</f>
        <v>#DIV/0!</v>
      </c>
    </row>
    <row r="18" spans="2:3" x14ac:dyDescent="0.25">
      <c r="B18" s="1">
        <v>7</v>
      </c>
      <c r="C18" s="85" t="e">
        <f>'data 2'!C34</f>
        <v>#DIV/0!</v>
      </c>
    </row>
    <row r="19" spans="2:3" x14ac:dyDescent="0.25">
      <c r="B19" s="84" t="s">
        <v>75</v>
      </c>
      <c r="C19" s="85" t="e">
        <f>IF(-(H3-C6-D6)&gt;0,0,(-(H3-C6-D6)))</f>
        <v>#DIV/0!</v>
      </c>
    </row>
    <row r="20" spans="2:3" x14ac:dyDescent="0.25">
      <c r="B20" s="1">
        <v>8</v>
      </c>
      <c r="C20" s="85" t="e">
        <f>'data 2'!C35</f>
        <v>#DIV/0!</v>
      </c>
    </row>
    <row r="21" spans="2:3" x14ac:dyDescent="0.25">
      <c r="B21" s="1">
        <v>9</v>
      </c>
      <c r="C21" s="85" t="e">
        <f>'data 2'!C36</f>
        <v>#DIV/0!</v>
      </c>
    </row>
    <row r="22" spans="2:3" x14ac:dyDescent="0.25">
      <c r="B22" s="1">
        <v>10</v>
      </c>
      <c r="C22" s="85" t="e">
        <f>'data 2'!C37</f>
        <v>#DIV/0!</v>
      </c>
    </row>
    <row r="23" spans="2:3" x14ac:dyDescent="0.25">
      <c r="B23" s="1">
        <v>11</v>
      </c>
      <c r="C23" s="85" t="e">
        <f>'data 2'!C38</f>
        <v>#DIV/0!</v>
      </c>
    </row>
    <row r="24" spans="2:3" x14ac:dyDescent="0.25">
      <c r="B24" s="1">
        <v>12</v>
      </c>
      <c r="C24" s="85" t="e">
        <f>'data 2'!C39</f>
        <v>#DIV/0!</v>
      </c>
    </row>
    <row r="25" spans="2:3" x14ac:dyDescent="0.25">
      <c r="B25" s="1">
        <v>13</v>
      </c>
      <c r="C25" s="86" t="e">
        <f>'data 2'!C40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workbookViewId="0">
      <selection activeCell="I3" sqref="I3"/>
    </sheetView>
  </sheetViews>
  <sheetFormatPr baseColWidth="10" defaultRowHeight="15.75" x14ac:dyDescent="0.25"/>
  <sheetData>
    <row r="2" spans="2:14" x14ac:dyDescent="0.25">
      <c r="B2" t="str">
        <f>data!N5</f>
        <v>θ1</v>
      </c>
      <c r="C2" t="str">
        <f>data!O5</f>
        <v>θ2</v>
      </c>
      <c r="D2" t="str">
        <f>data!P5</f>
        <v>θ3</v>
      </c>
      <c r="E2" t="str">
        <f>data!B5</f>
        <v>R1 (mm)</v>
      </c>
      <c r="F2" t="str">
        <f>data!C5</f>
        <v>R2sup (mm)</v>
      </c>
      <c r="G2" t="str">
        <f>data!D5</f>
        <v>R2inf (mm)</v>
      </c>
      <c r="H2" t="str">
        <f>data!E5</f>
        <v>R3 (mm)</v>
      </c>
      <c r="I2" t="str">
        <f>data!F5</f>
        <v>t (mm)</v>
      </c>
      <c r="J2" t="str">
        <f>data!H5</f>
        <v>Pitch (mm)</v>
      </c>
      <c r="K2" t="str">
        <f>data!I5</f>
        <v>hw (mm)</v>
      </c>
      <c r="L2" t="str">
        <f>data!J5</f>
        <v>fyb (N/mm²)</v>
      </c>
      <c r="M2" t="str">
        <f>data!K5</f>
        <v>E (N/mm²)</v>
      </c>
      <c r="N2" s="81" t="s">
        <v>16</v>
      </c>
    </row>
    <row r="3" spans="2:14" x14ac:dyDescent="0.25">
      <c r="B3" t="e">
        <f>data!N6</f>
        <v>#DIV/0!</v>
      </c>
      <c r="C3" t="e">
        <f>data!O6</f>
        <v>#DIV/0!</v>
      </c>
      <c r="D3" t="e">
        <f>data!P6</f>
        <v>#DIV/0!</v>
      </c>
      <c r="E3">
        <f>IF(data!B6=0,0,data!B6+data!$G$6/2)</f>
        <v>0</v>
      </c>
      <c r="F3">
        <f>IF(data!C6=0,0,data!C6+data!$G$6/2)</f>
        <v>0</v>
      </c>
      <c r="G3">
        <f>IF(data!D6=0,0,data!D6+data!$G$6/2)</f>
        <v>0</v>
      </c>
      <c r="H3">
        <f>IF(data!E6=0,0,data!E6+data!$G$6/2)</f>
        <v>0</v>
      </c>
      <c r="I3" t="e">
        <f>0.93*1.18*data!F6*(1-data!M6/0.9/(2/3^0.5)^0.5/data!L6)</f>
        <v>#DIV/0!</v>
      </c>
      <c r="J3">
        <f>data!H6</f>
        <v>0</v>
      </c>
      <c r="K3">
        <f>data!I6</f>
        <v>0</v>
      </c>
      <c r="L3">
        <f>data!J6</f>
        <v>0</v>
      </c>
      <c r="M3">
        <f>data!K6</f>
        <v>0</v>
      </c>
      <c r="N3" s="81" t="e">
        <f>K3/SIN(C3)-2*F16</f>
        <v>#DIV/0!</v>
      </c>
    </row>
    <row r="4" spans="2:14" x14ac:dyDescent="0.25">
      <c r="I4">
        <f>data!F6</f>
        <v>0</v>
      </c>
    </row>
    <row r="5" spans="2:14" x14ac:dyDescent="0.25">
      <c r="B5" t="str">
        <f>data!B8</f>
        <v>Element</v>
      </c>
      <c r="C5" t="str">
        <f>data!C8</f>
        <v>li (mm)</v>
      </c>
      <c r="D5" t="str">
        <f>data!D8</f>
        <v>liz (mm)</v>
      </c>
      <c r="E5" t="str">
        <f>data!E8</f>
        <v>liy (mm)</v>
      </c>
    </row>
    <row r="6" spans="2:14" x14ac:dyDescent="0.25">
      <c r="B6">
        <f>data!B9</f>
        <v>1</v>
      </c>
      <c r="C6" s="28">
        <f>data!C9</f>
        <v>0</v>
      </c>
      <c r="D6" s="28">
        <f>data!D9</f>
        <v>0</v>
      </c>
      <c r="E6" s="28">
        <f>data!E9</f>
        <v>0</v>
      </c>
    </row>
    <row r="7" spans="2:14" x14ac:dyDescent="0.25">
      <c r="B7">
        <f>data!B10</f>
        <v>2</v>
      </c>
      <c r="C7" s="28">
        <f>data!C10</f>
        <v>0</v>
      </c>
      <c r="D7" s="28">
        <f>data!D10</f>
        <v>0</v>
      </c>
      <c r="E7" s="28">
        <f>data!E10</f>
        <v>0</v>
      </c>
    </row>
    <row r="8" spans="2:14" x14ac:dyDescent="0.25">
      <c r="B8">
        <f>data!B11</f>
        <v>3</v>
      </c>
      <c r="C8" s="28">
        <f>data!C11</f>
        <v>0</v>
      </c>
      <c r="D8" s="28">
        <f>data!D11</f>
        <v>0</v>
      </c>
      <c r="E8" s="28">
        <f>data!E11</f>
        <v>0</v>
      </c>
    </row>
    <row r="9" spans="2:14" x14ac:dyDescent="0.25">
      <c r="B9">
        <f>data!B12</f>
        <v>4</v>
      </c>
      <c r="C9" s="28">
        <f>data!C12</f>
        <v>0</v>
      </c>
      <c r="D9" s="28">
        <f>data!D12</f>
        <v>0</v>
      </c>
      <c r="E9" s="28">
        <f>data!E12</f>
        <v>0</v>
      </c>
    </row>
    <row r="10" spans="2:14" x14ac:dyDescent="0.25">
      <c r="B10">
        <f>data!B13</f>
        <v>5</v>
      </c>
      <c r="C10" s="28">
        <f>data!C13</f>
        <v>0</v>
      </c>
      <c r="D10" s="28">
        <f>data!D13</f>
        <v>0</v>
      </c>
      <c r="E10" s="28">
        <f>data!E13</f>
        <v>0</v>
      </c>
    </row>
    <row r="11" spans="2:14" x14ac:dyDescent="0.25">
      <c r="B11">
        <f>data!B14</f>
        <v>6</v>
      </c>
      <c r="C11" s="28">
        <f>data!C14</f>
        <v>0</v>
      </c>
      <c r="D11" s="28">
        <f>data!D14</f>
        <v>0</v>
      </c>
      <c r="E11" s="28">
        <f>data!E14</f>
        <v>0</v>
      </c>
    </row>
    <row r="12" spans="2:14" x14ac:dyDescent="0.25">
      <c r="B12">
        <f>data!B15</f>
        <v>7</v>
      </c>
      <c r="C12" s="28">
        <f>data!C15</f>
        <v>0</v>
      </c>
      <c r="D12" s="28">
        <f>data!D15</f>
        <v>0</v>
      </c>
      <c r="E12" s="28">
        <f>data!E15</f>
        <v>0</v>
      </c>
    </row>
    <row r="15" spans="2:14" x14ac:dyDescent="0.25">
      <c r="B15" s="8" t="s">
        <v>5</v>
      </c>
      <c r="C15" s="9">
        <f>B1</f>
        <v>0</v>
      </c>
      <c r="D15" s="24"/>
      <c r="E15" s="11"/>
      <c r="F15" s="12"/>
      <c r="G15" s="12"/>
      <c r="H15" s="8" t="s">
        <v>6</v>
      </c>
      <c r="I15" s="9">
        <f>D1</f>
        <v>0</v>
      </c>
      <c r="K15" s="8" t="s">
        <v>7</v>
      </c>
      <c r="L15" s="9">
        <f>2*D1</f>
        <v>0</v>
      </c>
    </row>
    <row r="16" spans="2:14" x14ac:dyDescent="0.25">
      <c r="B16" s="13" t="s">
        <v>8</v>
      </c>
      <c r="C16" s="14" t="e">
        <f>$E$3*(TAN(B3/2)-SIN(B3/2))</f>
        <v>#DIV/0!</v>
      </c>
      <c r="D16" s="12"/>
      <c r="E16" s="13" t="s">
        <v>139</v>
      </c>
      <c r="F16" s="14" t="e">
        <f>$F$3*(TAN(C$3/2)-SIN(C$3/2))</f>
        <v>#DIV/0!</v>
      </c>
      <c r="G16" s="12"/>
      <c r="H16" s="13" t="s">
        <v>9</v>
      </c>
      <c r="I16" s="14" t="e">
        <f>$H$3*(TAN(D3/2)-SIN(D3/2))</f>
        <v>#DIV/0!</v>
      </c>
      <c r="K16" s="13" t="s">
        <v>10</v>
      </c>
      <c r="L16" s="14">
        <f>$J$3*(TAN(L15/2)-SIN(L15/2))</f>
        <v>0</v>
      </c>
    </row>
    <row r="17" spans="1:14" x14ac:dyDescent="0.25">
      <c r="B17" s="15" t="s">
        <v>11</v>
      </c>
      <c r="C17" s="16" t="e">
        <f>$E$3*SIN(B3/2)</f>
        <v>#DIV/0!</v>
      </c>
      <c r="D17" s="12"/>
      <c r="E17" s="15" t="s">
        <v>140</v>
      </c>
      <c r="F17" s="16" t="e">
        <f>$F$3*SIN(C$3/2)</f>
        <v>#DIV/0!</v>
      </c>
      <c r="G17" s="12"/>
      <c r="H17" s="15" t="s">
        <v>12</v>
      </c>
      <c r="I17" s="16" t="e">
        <f>$H$3*SIN(D3/2)</f>
        <v>#DIV/0!</v>
      </c>
      <c r="K17" s="15" t="s">
        <v>13</v>
      </c>
      <c r="L17" s="16">
        <f>$J$3*SIN(L15/2)</f>
        <v>0</v>
      </c>
    </row>
    <row r="18" spans="1:14" x14ac:dyDescent="0.25">
      <c r="B18" s="17" t="s">
        <v>14</v>
      </c>
      <c r="C18" s="18" t="e">
        <f>E5-C16</f>
        <v>#VALUE!</v>
      </c>
      <c r="D18" s="12"/>
      <c r="E18" s="17" t="s">
        <v>14</v>
      </c>
      <c r="F18" s="18" t="e">
        <f>H5-F16</f>
        <v>#DIV/0!</v>
      </c>
      <c r="G18" s="12"/>
      <c r="H18" s="17" t="s">
        <v>14</v>
      </c>
      <c r="I18" s="18" t="e">
        <f>K5-I16</f>
        <v>#DIV/0!</v>
      </c>
      <c r="J18" s="19"/>
      <c r="K18" s="17" t="s">
        <v>14</v>
      </c>
      <c r="L18" s="18">
        <f>N7-L16</f>
        <v>0</v>
      </c>
    </row>
    <row r="19" spans="1:14" x14ac:dyDescent="0.25">
      <c r="B19" s="17" t="s">
        <v>15</v>
      </c>
      <c r="C19" s="18" t="e">
        <f>E11-C16</f>
        <v>#DIV/0!</v>
      </c>
      <c r="D19" s="12"/>
      <c r="E19" s="13" t="s">
        <v>141</v>
      </c>
      <c r="F19" s="14" t="e">
        <f>$G$3*(TAN(C$3/2)-SIN(C$3/2))</f>
        <v>#DIV/0!</v>
      </c>
      <c r="G19" s="12"/>
      <c r="H19" s="17" t="s">
        <v>15</v>
      </c>
      <c r="I19" s="18" t="e">
        <f>K11-I16</f>
        <v>#DIV/0!</v>
      </c>
      <c r="J19" s="19"/>
      <c r="K19" s="17" t="s">
        <v>15</v>
      </c>
      <c r="L19" s="18">
        <f>N11-L16</f>
        <v>0</v>
      </c>
    </row>
    <row r="20" spans="1:14" x14ac:dyDescent="0.25">
      <c r="B20" s="17" t="s">
        <v>16</v>
      </c>
      <c r="C20" s="18" t="e">
        <f>(((E7+E8+E10)^2+D13^2)^0.5-2*C16)</f>
        <v>#DIV/0!</v>
      </c>
      <c r="D20" s="12"/>
      <c r="E20" s="15" t="s">
        <v>142</v>
      </c>
      <c r="F20" s="16" t="e">
        <f>$G$3*SIN(C$3/2)</f>
        <v>#DIV/0!</v>
      </c>
      <c r="G20" s="12"/>
      <c r="H20" s="17" t="s">
        <v>16</v>
      </c>
      <c r="I20" s="18" t="e">
        <f>(((K7+K8+K10)^2+J13^2)^0.5-2*I16)</f>
        <v>#DIV/0!</v>
      </c>
      <c r="J20" s="19"/>
      <c r="K20" s="17" t="s">
        <v>16</v>
      </c>
      <c r="L20" s="18">
        <f>(((N8+N9+N10)^2+M13^2)^0.5-2*L16)</f>
        <v>0</v>
      </c>
    </row>
    <row r="21" spans="1:14" x14ac:dyDescent="0.25">
      <c r="B21" s="17" t="s">
        <v>17</v>
      </c>
      <c r="C21" s="20" t="e">
        <f>C18-C17</f>
        <v>#VALUE!</v>
      </c>
      <c r="D21" s="12"/>
      <c r="E21" s="23" t="s">
        <v>143</v>
      </c>
      <c r="F21" s="16" t="e">
        <f>$G$3*C$3</f>
        <v>#DIV/0!</v>
      </c>
      <c r="G21" s="12"/>
      <c r="H21" s="17" t="s">
        <v>17</v>
      </c>
      <c r="I21" s="20" t="e">
        <f>I18-I17</f>
        <v>#DIV/0!</v>
      </c>
      <c r="J21" s="19"/>
      <c r="K21" s="17" t="s">
        <v>17</v>
      </c>
      <c r="L21" s="20">
        <f>L18-L17</f>
        <v>0</v>
      </c>
    </row>
    <row r="22" spans="1:14" x14ac:dyDescent="0.25">
      <c r="B22" s="17" t="s">
        <v>18</v>
      </c>
      <c r="C22" s="21" t="e">
        <f>C19-C17</f>
        <v>#DIV/0!</v>
      </c>
      <c r="D22" s="12"/>
      <c r="E22" s="23" t="s">
        <v>144</v>
      </c>
      <c r="F22" s="16" t="e">
        <f>$G$3*(1-SIN(C$3)/C$3)</f>
        <v>#DIV/0!</v>
      </c>
      <c r="G22" s="12"/>
      <c r="H22" s="17" t="s">
        <v>18</v>
      </c>
      <c r="I22" s="21" t="e">
        <f>I19-I17</f>
        <v>#DIV/0!</v>
      </c>
      <c r="J22" s="19"/>
      <c r="K22" s="17" t="s">
        <v>18</v>
      </c>
      <c r="L22" s="21">
        <f>L19-L17</f>
        <v>0</v>
      </c>
    </row>
    <row r="23" spans="1:14" x14ac:dyDescent="0.25">
      <c r="B23" s="22" t="s">
        <v>19</v>
      </c>
      <c r="C23" s="20" t="e">
        <f>C20-2*$D$9</f>
        <v>#DIV/0!</v>
      </c>
      <c r="D23" s="12"/>
      <c r="E23" s="22" t="s">
        <v>19</v>
      </c>
      <c r="F23" s="20" t="e">
        <f>F20-2*$D$9</f>
        <v>#DIV/0!</v>
      </c>
      <c r="G23" s="12"/>
      <c r="H23" s="22" t="s">
        <v>19</v>
      </c>
      <c r="I23" s="20" t="e">
        <f>I20-2*$D$9</f>
        <v>#DIV/0!</v>
      </c>
      <c r="J23" s="19"/>
      <c r="K23" s="22" t="s">
        <v>19</v>
      </c>
      <c r="L23" s="20">
        <f>L20-2*$D$11</f>
        <v>0</v>
      </c>
    </row>
    <row r="24" spans="1:14" x14ac:dyDescent="0.25">
      <c r="B24" s="23" t="s">
        <v>20</v>
      </c>
      <c r="C24" s="16" t="e">
        <f>$E$3*B3</f>
        <v>#DIV/0!</v>
      </c>
      <c r="D24" s="12"/>
      <c r="E24" s="23" t="s">
        <v>145</v>
      </c>
      <c r="F24" s="16" t="e">
        <f>$F$3*C$3</f>
        <v>#DIV/0!</v>
      </c>
      <c r="G24" s="12"/>
      <c r="H24" s="23" t="s">
        <v>21</v>
      </c>
      <c r="I24" s="16" t="e">
        <f>$H$3*D3</f>
        <v>#DIV/0!</v>
      </c>
      <c r="K24" s="23" t="s">
        <v>22</v>
      </c>
      <c r="L24" s="16">
        <f>$J$3*L15</f>
        <v>0</v>
      </c>
    </row>
    <row r="25" spans="1:14" x14ac:dyDescent="0.25">
      <c r="B25" s="23" t="s">
        <v>23</v>
      </c>
      <c r="C25" s="16" t="e">
        <f>$E$3*(1-SIN(B3)/B3)</f>
        <v>#DIV/0!</v>
      </c>
      <c r="D25" s="12"/>
      <c r="E25" s="23" t="s">
        <v>146</v>
      </c>
      <c r="F25" s="16" t="e">
        <f>$F$3*(1-SIN(C$3)/C$3)</f>
        <v>#DIV/0!</v>
      </c>
      <c r="G25" s="12"/>
      <c r="H25" s="23" t="s">
        <v>24</v>
      </c>
      <c r="I25" s="16" t="e">
        <f>$H$3*(1-SIN(D3)/D3)</f>
        <v>#DIV/0!</v>
      </c>
      <c r="K25" s="23" t="s">
        <v>25</v>
      </c>
      <c r="L25" s="16" t="e">
        <f>$J$3*(1-SIN(L15)/L15)</f>
        <v>#DIV/0!</v>
      </c>
    </row>
    <row r="27" spans="1:14" ht="18" x14ac:dyDescent="0.3">
      <c r="B27" s="1" t="s">
        <v>4</v>
      </c>
      <c r="C27" s="1" t="s">
        <v>26</v>
      </c>
      <c r="D27" s="1" t="s">
        <v>27</v>
      </c>
      <c r="E27" s="1" t="s">
        <v>28</v>
      </c>
      <c r="F27" s="25"/>
      <c r="G27" s="25"/>
      <c r="H27" s="36" t="s">
        <v>4</v>
      </c>
      <c r="I27" s="36" t="s">
        <v>29</v>
      </c>
      <c r="J27" s="36" t="s">
        <v>30</v>
      </c>
      <c r="K27" s="36" t="s">
        <v>31</v>
      </c>
      <c r="L27" s="36" t="s">
        <v>32</v>
      </c>
      <c r="M27" s="37" t="s">
        <v>33</v>
      </c>
      <c r="N27" s="36" t="s">
        <v>34</v>
      </c>
    </row>
    <row r="28" spans="1:14" x14ac:dyDescent="0.25">
      <c r="B28" s="1">
        <v>1</v>
      </c>
      <c r="C28" s="3" t="e">
        <f>IF((C6-C16-C17)&gt;0,(C6-C16-C17),0)</f>
        <v>#DIV/0!</v>
      </c>
      <c r="D28" s="1"/>
      <c r="E28" s="1"/>
      <c r="F28" s="25"/>
      <c r="G28" s="25"/>
      <c r="H28" s="36">
        <v>1</v>
      </c>
      <c r="I28" s="40" t="e">
        <f>C28*$I$3</f>
        <v>#DIV/0!</v>
      </c>
      <c r="J28" s="38">
        <f>K3-D7</f>
        <v>0</v>
      </c>
      <c r="K28" s="40" t="e">
        <f>I28*J28</f>
        <v>#DIV/0!</v>
      </c>
      <c r="L28" s="40" t="e">
        <f>L$43-J28</f>
        <v>#DIV/0!</v>
      </c>
      <c r="M28" s="37" t="e">
        <f>I3</f>
        <v>#DIV/0!</v>
      </c>
      <c r="N28" s="38" t="e">
        <f>I28*M28^2/12+I28*L28^2</f>
        <v>#DIV/0!</v>
      </c>
    </row>
    <row r="29" spans="1:14" x14ac:dyDescent="0.25">
      <c r="A29" s="28">
        <v>0.59081384319937069</v>
      </c>
      <c r="B29" s="1">
        <v>2</v>
      </c>
      <c r="C29" s="31" t="e">
        <f>C24</f>
        <v>#DIV/0!</v>
      </c>
      <c r="D29" s="3"/>
      <c r="E29" s="3"/>
      <c r="F29" s="10"/>
      <c r="G29" s="10"/>
      <c r="H29" s="46">
        <v>2</v>
      </c>
      <c r="I29" s="47" t="e">
        <f>C29*$I$3</f>
        <v>#DIV/0!</v>
      </c>
      <c r="J29" s="48" t="e">
        <f>K3-D7+C25</f>
        <v>#DIV/0!</v>
      </c>
      <c r="K29" s="47" t="e">
        <f>I29*J29</f>
        <v>#DIV/0!</v>
      </c>
      <c r="L29" s="47" t="e">
        <f t="shared" ref="L29:L40" si="0">L$43-J29</f>
        <v>#DIV/0!</v>
      </c>
      <c r="M29" s="49"/>
      <c r="N29" s="48" t="e">
        <f>$I$3*$E$3^3+I3*(($B$3+SIN($B$3)*COS($B$3))/2-SIN($B$3)^2/$B$3)+I29*L29^2</f>
        <v>#DIV/0!</v>
      </c>
    </row>
    <row r="30" spans="1:14" x14ac:dyDescent="0.25">
      <c r="A30" s="28">
        <v>15.338291548474187</v>
      </c>
      <c r="B30" s="1">
        <v>3</v>
      </c>
      <c r="C30" s="31" t="e">
        <f>C7-2*C16-2*C17</f>
        <v>#DIV/0!</v>
      </c>
      <c r="D30" s="3"/>
      <c r="E30" s="3"/>
      <c r="F30" s="10"/>
      <c r="G30" s="50" t="s">
        <v>35</v>
      </c>
      <c r="H30" s="36">
        <v>3</v>
      </c>
      <c r="I30" s="40" t="e">
        <f>C30*$I$3</f>
        <v>#DIV/0!</v>
      </c>
      <c r="J30" s="42">
        <f>K3-D7/2</f>
        <v>0</v>
      </c>
      <c r="K30" s="40" t="e">
        <f t="shared" ref="K30:K36" si="1">I30*J30</f>
        <v>#DIV/0!</v>
      </c>
      <c r="L30" s="40" t="e">
        <f t="shared" si="0"/>
        <v>#DIV/0!</v>
      </c>
      <c r="M30" s="41" t="e">
        <f>C30*SIN(B3)</f>
        <v>#DIV/0!</v>
      </c>
      <c r="N30" s="38" t="e">
        <f>I30*M30^2/12+I30*L30^2</f>
        <v>#DIV/0!</v>
      </c>
    </row>
    <row r="31" spans="1:14" x14ac:dyDescent="0.25">
      <c r="A31" s="28">
        <v>1.1816276863987414</v>
      </c>
      <c r="B31" s="1">
        <v>4</v>
      </c>
      <c r="C31" s="32" t="e">
        <f>C24</f>
        <v>#DIV/0!</v>
      </c>
      <c r="D31" s="3"/>
      <c r="E31" s="3"/>
      <c r="F31" s="10"/>
      <c r="G31" s="10"/>
      <c r="H31" s="46">
        <v>4</v>
      </c>
      <c r="I31" s="47" t="e">
        <f t="shared" ref="I31" si="2">C31*$I$3</f>
        <v>#DIV/0!</v>
      </c>
      <c r="J31" s="48" t="e">
        <f>K3-C25</f>
        <v>#DIV/0!</v>
      </c>
      <c r="K31" s="47" t="e">
        <f t="shared" si="1"/>
        <v>#DIV/0!</v>
      </c>
      <c r="L31" s="47" t="e">
        <f t="shared" si="0"/>
        <v>#DIV/0!</v>
      </c>
      <c r="M31" s="49"/>
      <c r="N31" s="48" t="e">
        <f>$I$3*$E$3^3*(($B$3+SIN($B$3)*COS($B$3))/2-SIN($B$3)^2/$B$3)+I31*L31^2</f>
        <v>#DIV/0!</v>
      </c>
    </row>
    <row r="32" spans="1:14" x14ac:dyDescent="0.25">
      <c r="A32" s="28">
        <v>20.407975066095581</v>
      </c>
      <c r="B32" s="1">
        <v>5</v>
      </c>
      <c r="C32" s="31" t="e">
        <f>C8-C16-C17-F16-F17</f>
        <v>#DIV/0!</v>
      </c>
      <c r="D32" s="3"/>
      <c r="E32" s="3"/>
      <c r="F32" s="10"/>
      <c r="G32" s="10"/>
      <c r="H32" s="36">
        <v>5</v>
      </c>
      <c r="I32" s="40" t="e">
        <f>C32*$I$3</f>
        <v>#DIV/0!</v>
      </c>
      <c r="J32" s="39">
        <f>K3</f>
        <v>0</v>
      </c>
      <c r="K32" s="40" t="e">
        <f t="shared" si="1"/>
        <v>#DIV/0!</v>
      </c>
      <c r="L32" s="40" t="e">
        <f t="shared" si="0"/>
        <v>#DIV/0!</v>
      </c>
      <c r="M32" s="43" t="e">
        <f>I3</f>
        <v>#DIV/0!</v>
      </c>
      <c r="N32" s="38" t="e">
        <f>I32*M32^2/12+I32*L32^2</f>
        <v>#DIV/0!</v>
      </c>
    </row>
    <row r="33" spans="1:16" x14ac:dyDescent="0.25">
      <c r="A33" s="28">
        <v>4.1163582504575187</v>
      </c>
      <c r="B33" s="1">
        <v>6</v>
      </c>
      <c r="C33" s="31" t="e">
        <f>F24</f>
        <v>#DIV/0!</v>
      </c>
      <c r="D33" s="3"/>
      <c r="E33" s="3"/>
      <c r="F33" s="10"/>
      <c r="G33" s="10"/>
      <c r="H33" s="46">
        <v>6</v>
      </c>
      <c r="I33" s="40" t="e">
        <f>C33*$I$3</f>
        <v>#DIV/0!</v>
      </c>
      <c r="J33" s="48" t="e">
        <f>K3-F25</f>
        <v>#DIV/0!</v>
      </c>
      <c r="K33" s="47" t="e">
        <f t="shared" si="1"/>
        <v>#DIV/0!</v>
      </c>
      <c r="L33" s="47" t="e">
        <f t="shared" si="0"/>
        <v>#DIV/0!</v>
      </c>
      <c r="M33" s="49"/>
      <c r="N33" s="48" t="e">
        <f>$I$3*$F$3^3*(($C$3+SIN($C$3)*COS($C$3))/2-SIN($C$3)^2/$C$3)+I33*L33^2</f>
        <v>#DIV/0!</v>
      </c>
    </row>
    <row r="34" spans="1:16" x14ac:dyDescent="0.25">
      <c r="A34" s="28">
        <v>77.72861276595745</v>
      </c>
      <c r="B34" s="1">
        <v>7</v>
      </c>
      <c r="C34" s="31" t="e">
        <f>C9-F16-F17-I16-I17</f>
        <v>#DIV/0!</v>
      </c>
      <c r="D34" s="3"/>
      <c r="E34" s="3"/>
      <c r="F34" s="10"/>
      <c r="G34" s="10"/>
      <c r="H34" s="36">
        <v>7</v>
      </c>
      <c r="I34" s="40" t="e">
        <f t="shared" ref="I34:I40" si="3">C34*$I$4</f>
        <v>#DIV/0!</v>
      </c>
      <c r="J34" s="42">
        <f>K3-D9/2</f>
        <v>0</v>
      </c>
      <c r="K34" s="40" t="e">
        <f t="shared" si="1"/>
        <v>#DIV/0!</v>
      </c>
      <c r="L34" s="40" t="e">
        <f t="shared" si="0"/>
        <v>#DIV/0!</v>
      </c>
      <c r="M34" s="41" t="e">
        <f>C34*SIN(C3)</f>
        <v>#DIV/0!</v>
      </c>
      <c r="N34" s="38" t="e">
        <f t="shared" ref="N34" si="4">I34*M34^2/12+I34*L34^2</f>
        <v>#DIV/0!</v>
      </c>
      <c r="P34">
        <f>D11+D10+D9/2</f>
        <v>0</v>
      </c>
    </row>
    <row r="35" spans="1:16" x14ac:dyDescent="0.25">
      <c r="A35" s="28">
        <v>4.1163582504575187</v>
      </c>
      <c r="B35" s="1">
        <v>8</v>
      </c>
      <c r="C35" s="31" t="e">
        <f>I24</f>
        <v>#DIV/0!</v>
      </c>
      <c r="D35" s="3"/>
      <c r="E35" s="3"/>
      <c r="F35" s="10"/>
      <c r="G35" s="10"/>
      <c r="H35" s="46">
        <v>8</v>
      </c>
      <c r="I35" s="40" t="e">
        <f t="shared" si="3"/>
        <v>#DIV/0!</v>
      </c>
      <c r="J35" s="47">
        <f>D11+D10</f>
        <v>0</v>
      </c>
      <c r="K35" s="51" t="e">
        <f>I35*J35</f>
        <v>#DIV/0!</v>
      </c>
      <c r="L35" s="47" t="e">
        <f t="shared" si="0"/>
        <v>#DIV/0!</v>
      </c>
      <c r="M35" s="49"/>
      <c r="N35" s="48" t="e">
        <f>$I$4*$H$3^3*(($D$3+SIN($D$3)*COS($D$3))/2-SIN($D$3)^2/$D$3)+I35*L35^2</f>
        <v>#DIV/0!</v>
      </c>
    </row>
    <row r="36" spans="1:16" x14ac:dyDescent="0.25">
      <c r="A36" s="28">
        <v>13.171612757637124</v>
      </c>
      <c r="B36" s="1">
        <v>9</v>
      </c>
      <c r="C36" s="31" t="e">
        <f>C10-2*I16-2*I17</f>
        <v>#DIV/0!</v>
      </c>
      <c r="D36" s="3"/>
      <c r="E36" s="3"/>
      <c r="F36" s="10"/>
      <c r="G36" s="10"/>
      <c r="H36" s="36">
        <v>9</v>
      </c>
      <c r="I36" s="40" t="e">
        <f t="shared" si="3"/>
        <v>#DIV/0!</v>
      </c>
      <c r="J36" s="42">
        <f>D11+D10/2</f>
        <v>0</v>
      </c>
      <c r="K36" s="40" t="e">
        <f t="shared" si="1"/>
        <v>#DIV/0!</v>
      </c>
      <c r="L36" s="40" t="e">
        <f t="shared" si="0"/>
        <v>#DIV/0!</v>
      </c>
      <c r="M36" s="41" t="e">
        <f>C36*SIN(D3)</f>
        <v>#DIV/0!</v>
      </c>
      <c r="N36" s="39" t="e">
        <f>I36*M36^2/12+I36*L36^2</f>
        <v>#DIV/0!</v>
      </c>
    </row>
    <row r="37" spans="1:16" x14ac:dyDescent="0.25">
      <c r="A37" s="28"/>
      <c r="B37" s="1">
        <v>10</v>
      </c>
      <c r="C37" s="31" t="e">
        <f>I24</f>
        <v>#DIV/0!</v>
      </c>
      <c r="D37" s="3"/>
      <c r="E37" s="3"/>
      <c r="F37" s="10"/>
      <c r="G37" s="10"/>
      <c r="H37" s="46">
        <v>10</v>
      </c>
      <c r="I37" s="40" t="e">
        <f t="shared" si="3"/>
        <v>#DIV/0!</v>
      </c>
      <c r="J37" s="48">
        <f>D11</f>
        <v>0</v>
      </c>
      <c r="K37" s="47" t="e">
        <f t="shared" ref="K37:K40" si="5">I37*J37</f>
        <v>#DIV/0!</v>
      </c>
      <c r="L37" s="47" t="e">
        <f t="shared" si="0"/>
        <v>#DIV/0!</v>
      </c>
      <c r="M37" s="49"/>
      <c r="N37" s="48" t="e">
        <f>$I$4*$H$3^3*(($D$3+SIN($D$3)*COS($D$3))/2-SIN($D$3)^2/$D$3)+I37*L37^2</f>
        <v>#DIV/0!</v>
      </c>
    </row>
    <row r="38" spans="1:16" x14ac:dyDescent="0.25">
      <c r="A38" s="28">
        <v>5.0487622245457349</v>
      </c>
      <c r="B38" s="1">
        <v>11</v>
      </c>
      <c r="C38" s="31" t="e">
        <f>C11-I16-I17-F19-F20</f>
        <v>#DIV/0!</v>
      </c>
      <c r="D38" s="3"/>
      <c r="E38" s="3"/>
      <c r="F38" s="10"/>
      <c r="G38" s="10"/>
      <c r="H38" s="36">
        <v>11</v>
      </c>
      <c r="I38" s="40" t="e">
        <f t="shared" si="3"/>
        <v>#DIV/0!</v>
      </c>
      <c r="J38" s="44">
        <f>D11/2</f>
        <v>0</v>
      </c>
      <c r="K38" s="40" t="e">
        <f t="shared" si="5"/>
        <v>#DIV/0!</v>
      </c>
      <c r="L38" s="40" t="e">
        <f t="shared" si="0"/>
        <v>#DIV/0!</v>
      </c>
      <c r="M38" s="41" t="e">
        <f>C38*SIN(C3)</f>
        <v>#DIV/0!</v>
      </c>
      <c r="N38" s="39" t="e">
        <f t="shared" ref="N38:N40" si="6">I38*M38^2/12+I38*L38^2</f>
        <v>#DIV/0!</v>
      </c>
    </row>
    <row r="39" spans="1:16" x14ac:dyDescent="0.25">
      <c r="A39" s="28"/>
      <c r="B39" s="1">
        <v>12</v>
      </c>
      <c r="C39" s="31" t="e">
        <f>F21</f>
        <v>#DIV/0!</v>
      </c>
      <c r="D39" s="3"/>
      <c r="E39" s="3"/>
      <c r="F39" s="10"/>
      <c r="G39" s="10"/>
      <c r="H39" s="46">
        <v>12</v>
      </c>
      <c r="I39" s="40" t="e">
        <f t="shared" si="3"/>
        <v>#DIV/0!</v>
      </c>
      <c r="J39" s="47" t="e">
        <f>F22</f>
        <v>#DIV/0!</v>
      </c>
      <c r="K39" s="47" t="e">
        <f t="shared" si="5"/>
        <v>#DIV/0!</v>
      </c>
      <c r="L39" s="47" t="e">
        <f t="shared" si="0"/>
        <v>#DIV/0!</v>
      </c>
      <c r="M39" s="49"/>
      <c r="N39" s="48" t="e">
        <f>$I$4*$G$3^3*(($C$3+SIN($C$3)*COS($C$3))/2-SIN($C$3)^2/$C$3)+I39*L39^2</f>
        <v>#DIV/0!</v>
      </c>
    </row>
    <row r="40" spans="1:16" x14ac:dyDescent="0.25">
      <c r="A40" s="28">
        <v>6.5607588735685471</v>
      </c>
      <c r="B40" s="1">
        <v>13</v>
      </c>
      <c r="C40" s="31" t="e">
        <f>IF((C12-F19-F20)&gt;0,(C12-F19-F20),0)</f>
        <v>#DIV/0!</v>
      </c>
      <c r="D40" s="3"/>
      <c r="E40" s="3"/>
      <c r="F40" s="10"/>
      <c r="G40" s="10"/>
      <c r="H40" s="36">
        <v>13</v>
      </c>
      <c r="I40" s="40" t="e">
        <f t="shared" si="3"/>
        <v>#DIV/0!</v>
      </c>
      <c r="J40" s="42">
        <f>D12</f>
        <v>0</v>
      </c>
      <c r="K40" s="40" t="e">
        <f t="shared" si="5"/>
        <v>#DIV/0!</v>
      </c>
      <c r="L40" s="40" t="e">
        <f t="shared" si="0"/>
        <v>#DIV/0!</v>
      </c>
      <c r="M40" s="41">
        <f>I4</f>
        <v>0</v>
      </c>
      <c r="N40" s="39" t="e">
        <f t="shared" si="6"/>
        <v>#DIV/0!</v>
      </c>
    </row>
    <row r="41" spans="1:16" x14ac:dyDescent="0.25">
      <c r="B41" s="1"/>
      <c r="C41" s="29"/>
      <c r="D41" s="3"/>
      <c r="E41" s="3"/>
      <c r="F41" s="10"/>
      <c r="G41" s="10"/>
      <c r="H41" s="36"/>
      <c r="I41" s="45"/>
      <c r="J41" s="39"/>
      <c r="K41" s="40"/>
      <c r="L41" s="40"/>
      <c r="M41" s="41"/>
      <c r="N41" s="39"/>
    </row>
    <row r="42" spans="1:16" x14ac:dyDescent="0.25">
      <c r="B42" s="1"/>
      <c r="C42" s="29"/>
      <c r="D42" s="3"/>
      <c r="E42" s="3"/>
      <c r="F42" s="10"/>
      <c r="G42" s="9"/>
      <c r="H42" s="36"/>
      <c r="I42" s="45"/>
      <c r="J42" s="39"/>
      <c r="K42" s="40"/>
      <c r="L42" s="40"/>
      <c r="M42" s="43"/>
      <c r="N42" s="38"/>
    </row>
    <row r="43" spans="1:16" x14ac:dyDescent="0.25">
      <c r="B43" s="9"/>
      <c r="C43" s="28" t="e">
        <f>SUM(C29:C42)</f>
        <v>#DIV/0!</v>
      </c>
      <c r="D43" s="10"/>
      <c r="E43" s="10"/>
      <c r="F43" s="9"/>
      <c r="G43" s="9"/>
      <c r="I43" s="28" t="e">
        <f>SUM(I28:I42)</f>
        <v>#DIV/0!</v>
      </c>
      <c r="K43" s="28" t="e">
        <f>SUM(K28:K42)</f>
        <v>#DIV/0!</v>
      </c>
      <c r="L43" s="30" t="e">
        <f>K43/I43</f>
        <v>#DIV/0!</v>
      </c>
      <c r="N43" s="28" t="e">
        <f>SUM(N28:N42)</f>
        <v>#DIV/0!</v>
      </c>
    </row>
    <row r="44" spans="1:16" x14ac:dyDescent="0.25">
      <c r="B44" s="23"/>
      <c r="C44" s="16" t="e">
        <f>C43*E1</f>
        <v>#DIV/0!</v>
      </c>
      <c r="D44" s="9"/>
      <c r="E44" s="9"/>
      <c r="F44" s="9"/>
      <c r="G44" s="9"/>
      <c r="I44" t="e">
        <f>I43*2/$J$3*1000</f>
        <v>#DIV/0!</v>
      </c>
      <c r="N44" t="e">
        <f>N43*2/$J$3*1000</f>
        <v>#DIV/0!</v>
      </c>
    </row>
    <row r="45" spans="1:16" x14ac:dyDescent="0.25">
      <c r="B45" s="23"/>
      <c r="C45" s="16"/>
      <c r="D45" s="9"/>
      <c r="E45" s="9"/>
      <c r="F45" s="9"/>
      <c r="G45" s="9"/>
      <c r="I45" t="e">
        <f>I44/10000</f>
        <v>#DIV/0!</v>
      </c>
      <c r="N45" t="e">
        <f>N44/10000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workbookViewId="0">
      <selection activeCell="D14" sqref="D14:D15"/>
    </sheetView>
  </sheetViews>
  <sheetFormatPr baseColWidth="10" defaultRowHeight="15.75" x14ac:dyDescent="0.25"/>
  <sheetData>
    <row r="2" spans="1:10" ht="16.5" x14ac:dyDescent="0.3">
      <c r="A2" t="s">
        <v>1</v>
      </c>
      <c r="B2" s="1" t="s">
        <v>1</v>
      </c>
      <c r="C2" s="1" t="s">
        <v>3</v>
      </c>
      <c r="D2" s="1" t="s">
        <v>2</v>
      </c>
    </row>
    <row r="3" spans="1:10" x14ac:dyDescent="0.25">
      <c r="A3">
        <f>data!F6</f>
        <v>0</v>
      </c>
      <c r="B3" s="3" t="e">
        <f>flange!C5</f>
        <v>#DIV/0!</v>
      </c>
      <c r="C3" s="3">
        <f>data!K6</f>
        <v>0</v>
      </c>
      <c r="D3" s="3">
        <f>data!J6</f>
        <v>0</v>
      </c>
    </row>
    <row r="8" spans="1:10" ht="18.75" x14ac:dyDescent="0.3">
      <c r="B8" s="1" t="s">
        <v>4</v>
      </c>
      <c r="C8" s="26" t="s">
        <v>49</v>
      </c>
      <c r="D8" s="26" t="s">
        <v>76</v>
      </c>
      <c r="E8" s="26" t="s">
        <v>29</v>
      </c>
      <c r="F8" s="26" t="s">
        <v>30</v>
      </c>
      <c r="G8" s="26" t="s">
        <v>31</v>
      </c>
      <c r="H8" s="26" t="s">
        <v>32</v>
      </c>
      <c r="I8" s="27" t="s">
        <v>33</v>
      </c>
      <c r="J8" s="26" t="s">
        <v>34</v>
      </c>
    </row>
    <row r="9" spans="1:10" x14ac:dyDescent="0.25">
      <c r="A9" s="87">
        <v>0</v>
      </c>
      <c r="B9" s="26">
        <v>1</v>
      </c>
      <c r="C9" s="35" t="e">
        <f>web!C11</f>
        <v>#DIV/0!</v>
      </c>
      <c r="D9" s="88" t="e">
        <f>B$3*'stiffnerbis (3)'!B$40</f>
        <v>#DIV/0!</v>
      </c>
      <c r="E9" s="88" t="e">
        <f>IF('stiffnerbis (3)'!G$40&lt;1,C9*D9*'stiffnerbis (3)'!E$40,C9*B$3)</f>
        <v>#DIV/0!</v>
      </c>
      <c r="F9" s="3">
        <f>'data 2'!J28</f>
        <v>0</v>
      </c>
      <c r="G9" s="1" t="e">
        <f>E9*F9</f>
        <v>#DIV/0!</v>
      </c>
      <c r="H9" s="3" t="e">
        <f t="shared" ref="H9:H23" si="0">$H$27-F9</f>
        <v>#DIV/0!</v>
      </c>
      <c r="I9" s="57" t="e">
        <f>'data 2'!M28</f>
        <v>#DIV/0!</v>
      </c>
      <c r="J9" s="38" t="e">
        <f>E9*I9^2/12+E9*H9^2</f>
        <v>#DIV/0!</v>
      </c>
    </row>
    <row r="10" spans="1:10" x14ac:dyDescent="0.25">
      <c r="A10" s="87">
        <v>0.80870598857129861</v>
      </c>
      <c r="B10" s="26">
        <v>2</v>
      </c>
      <c r="C10" s="35" t="e">
        <f>web!C12</f>
        <v>#DIV/0!</v>
      </c>
      <c r="D10" s="88" t="e">
        <f>B$3*'stiffnerbis (3)'!B$40</f>
        <v>#DIV/0!</v>
      </c>
      <c r="E10" s="88" t="e">
        <f>IF('stiffnerbis (3)'!G$40&lt;1,C10*D10*'stiffnerbis (3)'!E$40,C10*B$3)</f>
        <v>#DIV/0!</v>
      </c>
      <c r="F10" s="3" t="e">
        <f>'data 2'!J29</f>
        <v>#DIV/0!</v>
      </c>
      <c r="G10" s="1" t="e">
        <f t="shared" ref="G10:G23" si="1">E10*F10</f>
        <v>#DIV/0!</v>
      </c>
      <c r="H10" s="3" t="e">
        <f t="shared" si="0"/>
        <v>#DIV/0!</v>
      </c>
      <c r="I10" s="57"/>
      <c r="J10" s="48" t="e">
        <f>D10*'data 2'!E$3^3*(('data 2'!B$3+SIN('data 2'!B$3)*COS('data 2'!B$3))/2-SIN('data 2'!B$3)^2/'data 2'!B$3)+E10*H10^2</f>
        <v>#DIV/0!</v>
      </c>
    </row>
    <row r="11" spans="1:10" x14ac:dyDescent="0.25">
      <c r="A11" s="87">
        <v>10.497526735775734</v>
      </c>
      <c r="B11" s="26">
        <v>3</v>
      </c>
      <c r="C11" s="35" t="e">
        <f>web!C13</f>
        <v>#DIV/0!</v>
      </c>
      <c r="D11" s="88" t="e">
        <f>B$3*'stiffnerbis (3)'!B$40</f>
        <v>#DIV/0!</v>
      </c>
      <c r="E11" s="88" t="e">
        <f>IF('stiffnerbis (3)'!G$40&lt;1,C11*D11*'stiffnerbis (3)'!E$40,C11*B$3)</f>
        <v>#DIV/0!</v>
      </c>
      <c r="F11" s="3">
        <f>'data 2'!J30</f>
        <v>0</v>
      </c>
      <c r="G11" s="1" t="e">
        <f t="shared" si="1"/>
        <v>#DIV/0!</v>
      </c>
      <c r="H11" s="3" t="e">
        <f t="shared" si="0"/>
        <v>#DIV/0!</v>
      </c>
      <c r="I11" s="57" t="e">
        <f>'data 2'!M30</f>
        <v>#DIV/0!</v>
      </c>
      <c r="J11" s="38" t="e">
        <f>E11*I11^2/12+E11*H11^2</f>
        <v>#DIV/0!</v>
      </c>
    </row>
    <row r="12" spans="1:10" x14ac:dyDescent="0.25">
      <c r="A12" s="87">
        <v>0.80870598857129861</v>
      </c>
      <c r="B12" s="26">
        <v>4</v>
      </c>
      <c r="C12" s="35" t="e">
        <f>web!C14</f>
        <v>#DIV/0!</v>
      </c>
      <c r="D12" s="88" t="e">
        <f>B$3*'stiffnerbis (3)'!B$40</f>
        <v>#DIV/0!</v>
      </c>
      <c r="E12" s="88" t="e">
        <f>IF('stiffnerbis (3)'!G$40&lt;1,C12*D12*'stiffnerbis (3)'!E$40,C12*B$3)</f>
        <v>#DIV/0!</v>
      </c>
      <c r="F12" s="3" t="e">
        <f>'data 2'!J31</f>
        <v>#DIV/0!</v>
      </c>
      <c r="G12" s="1" t="e">
        <f t="shared" si="1"/>
        <v>#DIV/0!</v>
      </c>
      <c r="H12" s="3" t="e">
        <f t="shared" si="0"/>
        <v>#DIV/0!</v>
      </c>
      <c r="I12" s="57"/>
      <c r="J12" s="48" t="e">
        <f>D12*'data 2'!E$3^3*(('data 2'!B$3+SIN('data 2'!B$3)*COS('data 2'!B$3))/2-SIN('data 2'!B$3)^2/'data 2'!B$3)+E12*H12^2</f>
        <v>#DIV/0!</v>
      </c>
    </row>
    <row r="13" spans="1:10" x14ac:dyDescent="0.25">
      <c r="B13" s="26">
        <v>51</v>
      </c>
      <c r="C13" s="35" t="e">
        <f>web!C15</f>
        <v>#DIV/0!</v>
      </c>
      <c r="D13" s="88" t="e">
        <f>B$3*'stiffnerbis (3)'!B$40</f>
        <v>#DIV/0!</v>
      </c>
      <c r="E13" s="88" t="e">
        <f>IF('stiffnerbis (3)'!G$40&lt;1,C13*D13*'stiffnerbis (3)'!E$40,C13*B$3)</f>
        <v>#DIV/0!</v>
      </c>
      <c r="F13" s="3">
        <f>'data 2'!J32</f>
        <v>0</v>
      </c>
      <c r="G13" s="1" t="e">
        <f t="shared" si="1"/>
        <v>#DIV/0!</v>
      </c>
      <c r="H13" s="3" t="e">
        <f t="shared" si="0"/>
        <v>#DIV/0!</v>
      </c>
      <c r="I13" s="57" t="e">
        <f>'data 2'!M32</f>
        <v>#DIV/0!</v>
      </c>
      <c r="J13" s="38" t="e">
        <f>E13*I13^2/12+E13*H13^2</f>
        <v>#DIV/0!</v>
      </c>
    </row>
    <row r="14" spans="1:10" x14ac:dyDescent="0.25">
      <c r="B14" s="26">
        <v>52</v>
      </c>
      <c r="C14" s="35" t="e">
        <f>web!C16</f>
        <v>#DIV/0!</v>
      </c>
      <c r="D14" s="57" t="e">
        <f t="shared" ref="D14:D15" si="2">B$3</f>
        <v>#DIV/0!</v>
      </c>
      <c r="E14" s="57" t="e">
        <f t="shared" ref="E14:E22" si="3">C14*D14</f>
        <v>#DIV/0!</v>
      </c>
      <c r="F14" s="3">
        <f>'data 2'!J32</f>
        <v>0</v>
      </c>
      <c r="G14" s="1" t="e">
        <f t="shared" si="1"/>
        <v>#DIV/0!</v>
      </c>
      <c r="H14" s="3" t="e">
        <f t="shared" si="0"/>
        <v>#DIV/0!</v>
      </c>
      <c r="I14" s="57" t="e">
        <f>'data 2'!M32</f>
        <v>#DIV/0!</v>
      </c>
      <c r="J14" s="38" t="e">
        <f>E14*I14^2/12+E14*H14^2</f>
        <v>#DIV/0!</v>
      </c>
    </row>
    <row r="15" spans="1:10" x14ac:dyDescent="0.25">
      <c r="B15" s="26">
        <v>6</v>
      </c>
      <c r="C15" s="35" t="e">
        <f>web!C17</f>
        <v>#DIV/0!</v>
      </c>
      <c r="D15" s="57" t="e">
        <f t="shared" si="2"/>
        <v>#DIV/0!</v>
      </c>
      <c r="E15" s="57" t="e">
        <f t="shared" si="3"/>
        <v>#DIV/0!</v>
      </c>
      <c r="F15" s="3" t="e">
        <f>'data 2'!J33</f>
        <v>#DIV/0!</v>
      </c>
      <c r="G15" s="1" t="e">
        <f t="shared" si="1"/>
        <v>#DIV/0!</v>
      </c>
      <c r="H15" s="3" t="e">
        <f t="shared" si="0"/>
        <v>#DIV/0!</v>
      </c>
      <c r="I15" s="57"/>
      <c r="J15" s="48" t="e">
        <f>D15*'data 2'!E$3^3*(('data 2'!C$3+SIN('data 2'!C$3)*COS('data 2'!C$3))/2-SIN('data 2'!C$3)^2/'data 2'!C$3)+E15*H15^2</f>
        <v>#DIV/0!</v>
      </c>
    </row>
    <row r="16" spans="1:10" x14ac:dyDescent="0.25">
      <c r="B16" s="26">
        <v>7</v>
      </c>
      <c r="C16" s="35" t="e">
        <f>web!C18</f>
        <v>#DIV/0!</v>
      </c>
      <c r="D16" s="57">
        <f>A$3</f>
        <v>0</v>
      </c>
      <c r="E16" s="57" t="e">
        <f t="shared" si="3"/>
        <v>#DIV/0!</v>
      </c>
      <c r="F16" s="3">
        <f>'data 2'!J34</f>
        <v>0</v>
      </c>
      <c r="G16" s="1" t="e">
        <f t="shared" si="1"/>
        <v>#DIV/0!</v>
      </c>
      <c r="H16" s="3" t="e">
        <f t="shared" si="0"/>
        <v>#DIV/0!</v>
      </c>
      <c r="I16" s="57" t="e">
        <f>'data 2'!M34</f>
        <v>#DIV/0!</v>
      </c>
      <c r="J16" s="38" t="e">
        <f>E16*I16^2/12+E16*H16^2</f>
        <v>#DIV/0!</v>
      </c>
    </row>
    <row r="17" spans="2:11" x14ac:dyDescent="0.25">
      <c r="B17" s="36" t="s">
        <v>75</v>
      </c>
      <c r="C17" s="35" t="e">
        <f>'web (3)'!C19</f>
        <v>#DIV/0!</v>
      </c>
      <c r="D17" s="57">
        <f t="shared" ref="D17:D23" si="4">A$3</f>
        <v>0</v>
      </c>
      <c r="E17" s="57" t="e">
        <f t="shared" si="3"/>
        <v>#DIV/0!</v>
      </c>
      <c r="F17" s="3" t="e">
        <f>'moment (2)'!H27+('web (3)'!D6-'web (3)'!C19/2)*SIN(data!O6)</f>
        <v>#DIV/0!</v>
      </c>
      <c r="G17" s="1" t="e">
        <f t="shared" si="1"/>
        <v>#DIV/0!</v>
      </c>
      <c r="H17" s="3" t="e">
        <f t="shared" si="0"/>
        <v>#DIV/0!</v>
      </c>
      <c r="I17" s="93" t="e">
        <f>-C17*SIN(data!O6)</f>
        <v>#DIV/0!</v>
      </c>
      <c r="J17" s="38" t="e">
        <f>E17*I17^2/12+E17*H17^2</f>
        <v>#DIV/0!</v>
      </c>
    </row>
    <row r="18" spans="2:11" x14ac:dyDescent="0.25">
      <c r="B18" s="26">
        <v>8</v>
      </c>
      <c r="C18" s="35" t="e">
        <f>web!C20</f>
        <v>#DIV/0!</v>
      </c>
      <c r="D18" s="57">
        <f t="shared" si="4"/>
        <v>0</v>
      </c>
      <c r="E18" s="57" t="e">
        <f t="shared" si="3"/>
        <v>#DIV/0!</v>
      </c>
      <c r="F18" s="3">
        <f>'data 2'!J35</f>
        <v>0</v>
      </c>
      <c r="G18" s="1" t="e">
        <f t="shared" si="1"/>
        <v>#DIV/0!</v>
      </c>
      <c r="H18" s="3" t="e">
        <f t="shared" si="0"/>
        <v>#DIV/0!</v>
      </c>
      <c r="I18" s="57"/>
      <c r="J18" s="48" t="e">
        <f>D18*'data 2'!E$3^3*(('data 2'!C$3+SIN('data 2'!C$3)*COS('data 2'!C$3))/2-SIN('data 2'!C$3)^2/'data 2'!C$3)+E18*H18^2</f>
        <v>#DIV/0!</v>
      </c>
    </row>
    <row r="19" spans="2:11" x14ac:dyDescent="0.25">
      <c r="B19" s="26">
        <v>9</v>
      </c>
      <c r="C19" s="35" t="e">
        <f>web!C21</f>
        <v>#DIV/0!</v>
      </c>
      <c r="D19" s="57">
        <f t="shared" si="4"/>
        <v>0</v>
      </c>
      <c r="E19" s="57" t="e">
        <f t="shared" si="3"/>
        <v>#DIV/0!</v>
      </c>
      <c r="F19" s="3">
        <f>'data 2'!J36</f>
        <v>0</v>
      </c>
      <c r="G19" s="1" t="e">
        <f t="shared" si="1"/>
        <v>#DIV/0!</v>
      </c>
      <c r="H19" s="3" t="e">
        <f t="shared" si="0"/>
        <v>#DIV/0!</v>
      </c>
      <c r="I19" s="57" t="e">
        <f>'data 2'!M36</f>
        <v>#DIV/0!</v>
      </c>
      <c r="J19" s="38" t="e">
        <f>E19*I19^2/12+E19*H19^2</f>
        <v>#DIV/0!</v>
      </c>
    </row>
    <row r="20" spans="2:11" x14ac:dyDescent="0.25">
      <c r="B20" s="26">
        <v>10</v>
      </c>
      <c r="C20" s="35" t="e">
        <f>web!C22</f>
        <v>#DIV/0!</v>
      </c>
      <c r="D20" s="57">
        <f t="shared" si="4"/>
        <v>0</v>
      </c>
      <c r="E20" s="57" t="e">
        <f t="shared" si="3"/>
        <v>#DIV/0!</v>
      </c>
      <c r="F20" s="3">
        <f>'data 2'!J37</f>
        <v>0</v>
      </c>
      <c r="G20" s="1" t="e">
        <f t="shared" si="1"/>
        <v>#DIV/0!</v>
      </c>
      <c r="H20" s="3" t="e">
        <f t="shared" si="0"/>
        <v>#DIV/0!</v>
      </c>
      <c r="I20" s="57"/>
      <c r="J20" s="48" t="e">
        <f>D20*'data 2'!E$3^3*(('data 2'!D$3+SIN('data 2'!D$3)*COS('data 2'!D$3))/2-SIN('data 2'!D$3)^2/'data 2'!D$3)+E20*H20^2</f>
        <v>#DIV/0!</v>
      </c>
    </row>
    <row r="21" spans="2:11" x14ac:dyDescent="0.25">
      <c r="B21" s="26">
        <v>11</v>
      </c>
      <c r="C21" s="35" t="e">
        <f>web!C23</f>
        <v>#DIV/0!</v>
      </c>
      <c r="D21" s="57">
        <f t="shared" si="4"/>
        <v>0</v>
      </c>
      <c r="E21" s="57" t="e">
        <f t="shared" si="3"/>
        <v>#DIV/0!</v>
      </c>
      <c r="F21" s="3">
        <f>'data 2'!J38</f>
        <v>0</v>
      </c>
      <c r="G21" s="1" t="e">
        <f>E21*F21</f>
        <v>#DIV/0!</v>
      </c>
      <c r="H21" s="3" t="e">
        <f t="shared" si="0"/>
        <v>#DIV/0!</v>
      </c>
      <c r="I21" s="57" t="e">
        <f>'data 2'!M38</f>
        <v>#DIV/0!</v>
      </c>
      <c r="J21" s="38" t="e">
        <f>E21*I21^2/12+E21*H21^2</f>
        <v>#DIV/0!</v>
      </c>
    </row>
    <row r="22" spans="2:11" x14ac:dyDescent="0.25">
      <c r="B22" s="26">
        <v>12</v>
      </c>
      <c r="C22" s="35" t="e">
        <f>web!C24</f>
        <v>#DIV/0!</v>
      </c>
      <c r="D22" s="57">
        <f t="shared" si="4"/>
        <v>0</v>
      </c>
      <c r="E22" s="57" t="e">
        <f t="shared" si="3"/>
        <v>#DIV/0!</v>
      </c>
      <c r="F22" s="3" t="e">
        <f>'data 2'!J39</f>
        <v>#DIV/0!</v>
      </c>
      <c r="G22" s="1" t="e">
        <f t="shared" si="1"/>
        <v>#DIV/0!</v>
      </c>
      <c r="H22" s="3" t="e">
        <f t="shared" si="0"/>
        <v>#DIV/0!</v>
      </c>
      <c r="I22" s="57"/>
      <c r="J22" s="48" t="e">
        <f>D22*'data 2'!E$3^3*(('data 2'!D$3+SIN('data 2'!D$3)*COS('data 2'!D$3))/2-SIN('data 2'!D$3)^2/'data 2'!D$3)+E22*H22^2</f>
        <v>#DIV/0!</v>
      </c>
    </row>
    <row r="23" spans="2:11" x14ac:dyDescent="0.25">
      <c r="B23" s="26">
        <v>13</v>
      </c>
      <c r="C23" s="35" t="e">
        <f>web!C25</f>
        <v>#DIV/0!</v>
      </c>
      <c r="D23" s="57">
        <f t="shared" si="4"/>
        <v>0</v>
      </c>
      <c r="E23" s="57" t="e">
        <f>C23*D23</f>
        <v>#DIV/0!</v>
      </c>
      <c r="F23" s="3">
        <f>'data 2'!J40</f>
        <v>0</v>
      </c>
      <c r="G23" s="1" t="e">
        <f t="shared" si="1"/>
        <v>#DIV/0!</v>
      </c>
      <c r="H23" s="3" t="e">
        <f t="shared" si="0"/>
        <v>#DIV/0!</v>
      </c>
      <c r="I23" s="57">
        <f>'data 2'!M40</f>
        <v>0</v>
      </c>
      <c r="J23" s="38" t="e">
        <f>E23*I23^2/12+E23*H23^2</f>
        <v>#DIV/0!</v>
      </c>
    </row>
    <row r="24" spans="2:11" x14ac:dyDescent="0.25">
      <c r="B24" s="26"/>
      <c r="C24" s="1"/>
      <c r="D24" s="1"/>
      <c r="E24" s="3"/>
      <c r="F24" s="1"/>
      <c r="G24" s="3"/>
      <c r="H24" s="3"/>
      <c r="I24" s="1"/>
      <c r="J24" s="31"/>
    </row>
    <row r="27" spans="2:11" x14ac:dyDescent="0.25">
      <c r="B27" s="26" t="s">
        <v>52</v>
      </c>
      <c r="C27" s="9"/>
      <c r="D27" s="9"/>
      <c r="E27" s="3" t="e">
        <f>SUM(E9:E26)</f>
        <v>#DIV/0!</v>
      </c>
      <c r="G27" s="3" t="e">
        <f>SUM(G9:G26)</f>
        <v>#DIV/0!</v>
      </c>
      <c r="H27" s="3" t="e">
        <f>G27/E27</f>
        <v>#DIV/0!</v>
      </c>
      <c r="J27" s="31" t="e">
        <f>SUM(J9:J26)</f>
        <v>#DIV/0!</v>
      </c>
      <c r="K27" s="89" t="s">
        <v>77</v>
      </c>
    </row>
    <row r="28" spans="2:11" x14ac:dyDescent="0.25">
      <c r="E28" s="9" t="e">
        <f>E27*2</f>
        <v>#DIV/0!</v>
      </c>
      <c r="G28" s="9"/>
      <c r="H28" s="10" t="e">
        <f>data!I6-'moment (3)'!H27</f>
        <v>#DIV/0!</v>
      </c>
      <c r="J28" s="9" t="e">
        <f>J27*2</f>
        <v>#DIV/0!</v>
      </c>
      <c r="K28" s="89" t="s">
        <v>78</v>
      </c>
    </row>
    <row r="29" spans="2:11" x14ac:dyDescent="0.25">
      <c r="B29" s="9" t="s">
        <v>80</v>
      </c>
      <c r="C29" s="9" t="e">
        <f>J27/MAX(H27,H28)</f>
        <v>#DIV/0!</v>
      </c>
      <c r="D29" s="9" t="s">
        <v>77</v>
      </c>
      <c r="J29" s="9" t="e">
        <f>J28/data!H6</f>
        <v>#DIV/0!</v>
      </c>
      <c r="K29" s="89" t="s">
        <v>79</v>
      </c>
    </row>
    <row r="30" spans="2:11" x14ac:dyDescent="0.25">
      <c r="B30" s="9" t="s">
        <v>80</v>
      </c>
      <c r="C30" s="9" t="e">
        <f>2*C29</f>
        <v>#DIV/0!</v>
      </c>
      <c r="D30" s="9" t="s">
        <v>78</v>
      </c>
    </row>
    <row r="31" spans="2:11" x14ac:dyDescent="0.25">
      <c r="B31" s="9" t="s">
        <v>80</v>
      </c>
      <c r="C31" s="9" t="e">
        <f>C30/data!H6</f>
        <v>#DIV/0!</v>
      </c>
      <c r="D31" s="9" t="s">
        <v>81</v>
      </c>
    </row>
    <row r="32" spans="2:11" x14ac:dyDescent="0.25">
      <c r="B32" s="9"/>
      <c r="C32" s="9"/>
      <c r="D32" s="9"/>
    </row>
    <row r="33" spans="2:5" x14ac:dyDescent="0.25">
      <c r="B33" s="9" t="s">
        <v>82</v>
      </c>
      <c r="C33" s="9" t="s">
        <v>82</v>
      </c>
      <c r="D33" s="9"/>
    </row>
    <row r="34" spans="2:5" x14ac:dyDescent="0.25">
      <c r="B34" s="90" t="e">
        <f>D3*C31*1</f>
        <v>#DIV/0!</v>
      </c>
      <c r="C34" s="90" t="s">
        <v>83</v>
      </c>
      <c r="D34" s="91"/>
    </row>
    <row r="35" spans="2:5" x14ac:dyDescent="0.25">
      <c r="B35" s="92" t="e">
        <f>B34/1000</f>
        <v>#DIV/0!</v>
      </c>
      <c r="C35" t="s">
        <v>84</v>
      </c>
      <c r="E35" t="e">
        <f>(5.61-B35)/5.61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C6" sqref="C6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2" t="s">
        <v>38</v>
      </c>
      <c r="H4" s="53" t="s">
        <v>39</v>
      </c>
      <c r="I4" s="1" t="s">
        <v>40</v>
      </c>
      <c r="J4" s="54" t="s">
        <v>41</v>
      </c>
      <c r="K4" s="55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'data 2'!C8-'data 2'!C16-'data 2'!F16</f>
        <v>#DIV/0!</v>
      </c>
      <c r="C5" s="3" t="e">
        <f>flange!C5</f>
        <v>#DIV/0!</v>
      </c>
      <c r="D5" s="56">
        <f>'data 2'!L3</f>
        <v>0</v>
      </c>
      <c r="E5" s="3">
        <f>'data 2'!M3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MIN(D5,D5*('data 2'!K3-'moment (3)'!H27)/'moment (3)'!H27)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workbookViewId="0">
      <selection activeCell="D4" sqref="D4"/>
    </sheetView>
  </sheetViews>
  <sheetFormatPr baseColWidth="10" defaultRowHeight="15.75" x14ac:dyDescent="0.25"/>
  <cols>
    <col min="9" max="9" width="14.625" bestFit="1" customWidth="1"/>
  </cols>
  <sheetData>
    <row r="2" spans="2:9" ht="16.5" x14ac:dyDescent="0.3">
      <c r="B2" s="1" t="s">
        <v>47</v>
      </c>
      <c r="C2" s="1" t="s">
        <v>36</v>
      </c>
      <c r="D2" s="1" t="s">
        <v>1</v>
      </c>
      <c r="E2" s="1" t="s">
        <v>3</v>
      </c>
      <c r="F2" s="1" t="s">
        <v>2</v>
      </c>
      <c r="G2" s="9"/>
      <c r="H2" s="9"/>
      <c r="I2" s="9"/>
    </row>
    <row r="3" spans="2:9" x14ac:dyDescent="0.25">
      <c r="B3" s="3" t="e">
        <f>('data 2'!C28+'data 2'!C29+'data 2'!C30+'data 2'!C31/2)*2</f>
        <v>#DIV/0!</v>
      </c>
      <c r="C3" s="3" t="e">
        <f>flange!B5</f>
        <v>#DIV/0!</v>
      </c>
      <c r="D3" s="3" t="e">
        <f>flange!C5</f>
        <v>#DIV/0!</v>
      </c>
      <c r="E3" s="3">
        <f>'data 2'!M3</f>
        <v>0</v>
      </c>
      <c r="F3" s="56">
        <f>data!J6</f>
        <v>0</v>
      </c>
      <c r="G3" s="9"/>
      <c r="H3" s="9"/>
      <c r="I3" s="9"/>
    </row>
    <row r="4" spans="2:9" x14ac:dyDescent="0.25">
      <c r="B4" s="9"/>
      <c r="C4" s="9"/>
      <c r="D4" s="9"/>
      <c r="E4" s="9"/>
      <c r="F4" s="9"/>
      <c r="G4" s="9"/>
      <c r="H4" s="9"/>
      <c r="I4" s="9"/>
    </row>
    <row r="5" spans="2:9" ht="18.75" x14ac:dyDescent="0.3">
      <c r="B5" s="26" t="s">
        <v>48</v>
      </c>
      <c r="C5" s="26" t="s">
        <v>49</v>
      </c>
      <c r="D5" s="26" t="s">
        <v>29</v>
      </c>
      <c r="E5" s="26" t="s">
        <v>30</v>
      </c>
      <c r="F5" s="26" t="s">
        <v>31</v>
      </c>
      <c r="G5" s="26" t="s">
        <v>32</v>
      </c>
      <c r="H5" s="26" t="s">
        <v>33</v>
      </c>
      <c r="I5" s="26" t="s">
        <v>34</v>
      </c>
    </row>
    <row r="6" spans="2:9" x14ac:dyDescent="0.25">
      <c r="B6" s="26" t="s">
        <v>50</v>
      </c>
      <c r="C6" s="35" t="e">
        <f>15*D$3-'data 2'!C17</f>
        <v>#DIV/0!</v>
      </c>
      <c r="D6" s="35" t="e">
        <f>C6*$D$3</f>
        <v>#DIV/0!</v>
      </c>
      <c r="E6" s="35">
        <v>0</v>
      </c>
      <c r="F6" s="35" t="e">
        <f>D6*E6</f>
        <v>#DIV/0!</v>
      </c>
      <c r="G6" s="59" t="e">
        <f>$G$15-E6</f>
        <v>#DIV/0!</v>
      </c>
      <c r="H6" s="59" t="e">
        <f>D3</f>
        <v>#DIV/0!</v>
      </c>
      <c r="I6" s="78" t="e">
        <f>D6*H6^2/12+D6*G6^2</f>
        <v>#DIV/0!</v>
      </c>
    </row>
    <row r="7" spans="2:9" x14ac:dyDescent="0.25">
      <c r="B7" s="72">
        <v>2</v>
      </c>
      <c r="C7" s="73" t="e">
        <f>'data 2'!C31</f>
        <v>#DIV/0!</v>
      </c>
      <c r="D7" s="73" t="e">
        <f t="shared" ref="D7:D14" si="0">C7*$D$3</f>
        <v>#DIV/0!</v>
      </c>
      <c r="E7" s="73" t="e">
        <f>'data 2'!C25</f>
        <v>#DIV/0!</v>
      </c>
      <c r="F7" s="73" t="e">
        <f t="shared" ref="F7:F14" si="1">D7*E7</f>
        <v>#DIV/0!</v>
      </c>
      <c r="G7" s="74" t="e">
        <f t="shared" ref="G7:G14" si="2">$G$15-E7</f>
        <v>#DIV/0!</v>
      </c>
      <c r="H7" s="74"/>
      <c r="I7" s="79" t="e">
        <f>$D$3*'data 2'!E$3^3*(('data 2'!B$3+SIN('data 2'!B$3)*COS('data 2'!B$3))/2-SIN('data 2'!B$3)^2/'data 2'!B$3)+D7*G7^2</f>
        <v>#DIV/0!</v>
      </c>
    </row>
    <row r="8" spans="2:9" x14ac:dyDescent="0.25">
      <c r="B8" s="27">
        <v>3</v>
      </c>
      <c r="C8" s="76" t="e">
        <f>'data 2'!C30</f>
        <v>#DIV/0!</v>
      </c>
      <c r="D8" s="76" t="e">
        <f t="shared" si="0"/>
        <v>#DIV/0!</v>
      </c>
      <c r="E8" s="61">
        <f>'data 2'!D7/2</f>
        <v>0</v>
      </c>
      <c r="F8" s="76" t="e">
        <f t="shared" si="1"/>
        <v>#DIV/0!</v>
      </c>
      <c r="G8" s="77" t="e">
        <f t="shared" si="2"/>
        <v>#DIV/0!</v>
      </c>
      <c r="H8" s="77" t="e">
        <f>'data 2'!M30</f>
        <v>#DIV/0!</v>
      </c>
      <c r="I8" s="80" t="e">
        <f>D8*H8^2/12+D8*G8^2</f>
        <v>#DIV/0!</v>
      </c>
    </row>
    <row r="9" spans="2:9" x14ac:dyDescent="0.25">
      <c r="B9" s="72">
        <v>4</v>
      </c>
      <c r="C9" s="73" t="e">
        <f>'data 2'!C29</f>
        <v>#DIV/0!</v>
      </c>
      <c r="D9" s="73" t="e">
        <f t="shared" si="0"/>
        <v>#DIV/0!</v>
      </c>
      <c r="E9" s="75" t="e">
        <f>data!D10-'data 2'!C25</f>
        <v>#DIV/0!</v>
      </c>
      <c r="F9" s="73" t="e">
        <f t="shared" si="1"/>
        <v>#DIV/0!</v>
      </c>
      <c r="G9" s="74" t="e">
        <f t="shared" si="2"/>
        <v>#DIV/0!</v>
      </c>
      <c r="H9" s="74"/>
      <c r="I9" s="79" t="e">
        <f>$D$3*'data 2'!E$3^3*(('data 2'!B$3+SIN('data 2'!B$3)*COS('data 2'!B$3))/2-SIN('data 2'!B$3)^2/'data 2'!B$3)+D9*G9^2</f>
        <v>#DIV/0!</v>
      </c>
    </row>
    <row r="10" spans="2:9" x14ac:dyDescent="0.25">
      <c r="B10" s="26">
        <v>5</v>
      </c>
      <c r="C10" s="35" t="e">
        <f>'data 2'!C28*2</f>
        <v>#DIV/0!</v>
      </c>
      <c r="D10" s="35" t="e">
        <f t="shared" si="0"/>
        <v>#DIV/0!</v>
      </c>
      <c r="E10" s="61">
        <f>'data 2'!D7</f>
        <v>0</v>
      </c>
      <c r="F10" s="35" t="e">
        <f t="shared" si="1"/>
        <v>#DIV/0!</v>
      </c>
      <c r="G10" s="59" t="e">
        <f t="shared" si="2"/>
        <v>#DIV/0!</v>
      </c>
      <c r="H10" s="59" t="e">
        <f>D3</f>
        <v>#DIV/0!</v>
      </c>
      <c r="I10" s="78" t="e">
        <f>D10*H10^2/12+D10*G10^2</f>
        <v>#DIV/0!</v>
      </c>
    </row>
    <row r="11" spans="2:9" x14ac:dyDescent="0.25">
      <c r="B11" s="72">
        <v>6</v>
      </c>
      <c r="C11" s="73" t="e">
        <f>'data 2'!C29</f>
        <v>#DIV/0!</v>
      </c>
      <c r="D11" s="73" t="e">
        <f t="shared" si="0"/>
        <v>#DIV/0!</v>
      </c>
      <c r="E11" s="75" t="e">
        <f>E9</f>
        <v>#DIV/0!</v>
      </c>
      <c r="F11" s="73" t="e">
        <f t="shared" si="1"/>
        <v>#DIV/0!</v>
      </c>
      <c r="G11" s="74" t="e">
        <f t="shared" si="2"/>
        <v>#DIV/0!</v>
      </c>
      <c r="H11" s="74"/>
      <c r="I11" s="79" t="e">
        <f>I9</f>
        <v>#DIV/0!</v>
      </c>
    </row>
    <row r="12" spans="2:9" x14ac:dyDescent="0.25">
      <c r="B12" s="26">
        <v>7</v>
      </c>
      <c r="C12" s="76" t="e">
        <f>'data 2'!C30</f>
        <v>#DIV/0!</v>
      </c>
      <c r="D12" s="35" t="e">
        <f t="shared" si="0"/>
        <v>#DIV/0!</v>
      </c>
      <c r="E12" s="62">
        <f>E8</f>
        <v>0</v>
      </c>
      <c r="F12" s="35" t="e">
        <f t="shared" si="1"/>
        <v>#DIV/0!</v>
      </c>
      <c r="G12" s="59" t="e">
        <f t="shared" si="2"/>
        <v>#DIV/0!</v>
      </c>
      <c r="H12" s="59" t="e">
        <f>H8</f>
        <v>#DIV/0!</v>
      </c>
      <c r="I12" s="78" t="e">
        <f>D12*H12^2/12+D12*G12^2</f>
        <v>#DIV/0!</v>
      </c>
    </row>
    <row r="13" spans="2:9" x14ac:dyDescent="0.25">
      <c r="B13" s="72">
        <v>8</v>
      </c>
      <c r="C13" s="73" t="e">
        <f>'data 2'!C31</f>
        <v>#DIV/0!</v>
      </c>
      <c r="D13" s="73" t="e">
        <f t="shared" si="0"/>
        <v>#DIV/0!</v>
      </c>
      <c r="E13" s="75" t="e">
        <f>E7</f>
        <v>#DIV/0!</v>
      </c>
      <c r="F13" s="73" t="e">
        <f t="shared" si="1"/>
        <v>#DIV/0!</v>
      </c>
      <c r="G13" s="74" t="e">
        <f t="shared" si="2"/>
        <v>#DIV/0!</v>
      </c>
      <c r="H13" s="74"/>
      <c r="I13" s="79" t="e">
        <f>$D$3*'data 2'!E$3^3*(('data 2'!B$3+SIN('data 2'!B$3)*COS('data 2'!B$3))/2-SIN('data 2'!B$3)^2/'data 2'!B$3)+D13*G13^2</f>
        <v>#DIV/0!</v>
      </c>
    </row>
    <row r="14" spans="2:9" x14ac:dyDescent="0.25">
      <c r="B14" s="26" t="s">
        <v>51</v>
      </c>
      <c r="C14" s="35" t="e">
        <f>C6</f>
        <v>#DIV/0!</v>
      </c>
      <c r="D14" s="35" t="e">
        <f t="shared" si="0"/>
        <v>#DIV/0!</v>
      </c>
      <c r="E14" s="35">
        <f>E6</f>
        <v>0</v>
      </c>
      <c r="F14" s="35" t="e">
        <f t="shared" si="1"/>
        <v>#DIV/0!</v>
      </c>
      <c r="G14" s="59" t="e">
        <f t="shared" si="2"/>
        <v>#DIV/0!</v>
      </c>
      <c r="H14" s="59" t="e">
        <f>H6</f>
        <v>#DIV/0!</v>
      </c>
      <c r="I14" s="78" t="e">
        <f>D14*H14^2/12+D14*G14^2</f>
        <v>#DIV/0!</v>
      </c>
    </row>
    <row r="15" spans="2:9" x14ac:dyDescent="0.25">
      <c r="B15" s="63" t="s">
        <v>52</v>
      </c>
      <c r="C15" s="62"/>
      <c r="D15" s="64" t="e">
        <f>SUM(D6:D14)</f>
        <v>#DIV/0!</v>
      </c>
      <c r="E15" s="65"/>
      <c r="F15" s="35" t="e">
        <f>SUM(F6:F14)</f>
        <v>#DIV/0!</v>
      </c>
      <c r="G15" s="65" t="e">
        <f>F15/D15</f>
        <v>#DIV/0!</v>
      </c>
      <c r="H15" s="65"/>
      <c r="I15" s="78" t="e">
        <f>SUM(I6:I14)</f>
        <v>#DIV/0!</v>
      </c>
    </row>
    <row r="16" spans="2:9" x14ac:dyDescent="0.25">
      <c r="B16" s="66"/>
      <c r="C16" s="66"/>
      <c r="D16" s="66"/>
      <c r="E16" s="66"/>
      <c r="F16" s="66"/>
      <c r="G16" s="66"/>
      <c r="H16" s="67"/>
      <c r="I16" s="67"/>
    </row>
    <row r="17" spans="2:9" ht="16.5" x14ac:dyDescent="0.3">
      <c r="B17" s="26" t="s">
        <v>48</v>
      </c>
      <c r="C17" s="26" t="s">
        <v>49</v>
      </c>
      <c r="D17" s="26" t="s">
        <v>29</v>
      </c>
      <c r="E17" s="26"/>
      <c r="F17" s="26"/>
      <c r="G17" s="26"/>
      <c r="H17" s="26"/>
      <c r="I17" s="26"/>
    </row>
    <row r="18" spans="2:9" x14ac:dyDescent="0.25">
      <c r="B18" s="26" t="s">
        <v>50</v>
      </c>
      <c r="C18" s="94" t="e">
        <f>'flange (4)'!O5-'data 2'!C17</f>
        <v>#DIV/0!</v>
      </c>
      <c r="D18" s="35" t="e">
        <f>C18*$D$3</f>
        <v>#DIV/0!</v>
      </c>
      <c r="E18" s="35"/>
      <c r="F18" s="35"/>
      <c r="G18" s="59"/>
      <c r="H18" s="59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59"/>
      <c r="H19" s="59"/>
      <c r="I19" s="60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1"/>
      <c r="F20" s="35"/>
      <c r="G20" s="59"/>
      <c r="H20" s="59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2"/>
      <c r="F21" s="35"/>
      <c r="G21" s="59"/>
      <c r="H21" s="59"/>
      <c r="I21" s="60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1"/>
      <c r="F22" s="35"/>
      <c r="G22" s="59"/>
      <c r="H22" s="59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2"/>
      <c r="F23" s="35"/>
      <c r="G23" s="59"/>
      <c r="H23" s="59"/>
      <c r="I23" s="60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2"/>
      <c r="F24" s="35"/>
      <c r="G24" s="59"/>
      <c r="H24" s="59"/>
      <c r="I24" s="60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2"/>
      <c r="F25" s="35"/>
      <c r="G25" s="59"/>
      <c r="H25" s="59"/>
      <c r="I25" s="60"/>
    </row>
    <row r="26" spans="2:9" x14ac:dyDescent="0.25">
      <c r="B26" s="26" t="s">
        <v>51</v>
      </c>
      <c r="C26" s="35" t="e">
        <f>C18</f>
        <v>#DIV/0!</v>
      </c>
      <c r="D26" s="35" t="e">
        <f t="shared" si="3"/>
        <v>#DIV/0!</v>
      </c>
      <c r="E26" s="35"/>
      <c r="F26" s="35"/>
      <c r="G26" s="59"/>
      <c r="H26" s="59"/>
      <c r="I26" s="68"/>
    </row>
    <row r="27" spans="2:9" x14ac:dyDescent="0.25">
      <c r="B27" s="63" t="s">
        <v>52</v>
      </c>
      <c r="C27" s="62"/>
      <c r="D27" s="64" t="e">
        <f>SUM(D18:D26)</f>
        <v>#DIV/0!</v>
      </c>
      <c r="E27" s="65"/>
      <c r="F27" s="35"/>
      <c r="G27" s="65"/>
      <c r="H27" s="65"/>
      <c r="I27" s="3"/>
    </row>
    <row r="28" spans="2:9" x14ac:dyDescent="0.25">
      <c r="B28" s="66"/>
      <c r="C28" s="66"/>
      <c r="D28" s="66"/>
      <c r="E28" s="66"/>
      <c r="F28" s="66"/>
      <c r="G28" s="66"/>
      <c r="H28" s="67"/>
      <c r="I28" s="67"/>
    </row>
    <row r="29" spans="2:9" x14ac:dyDescent="0.25">
      <c r="B29" s="66"/>
      <c r="C29" s="66"/>
      <c r="D29" s="66"/>
      <c r="E29" s="66"/>
      <c r="F29" s="66"/>
      <c r="G29" s="66"/>
      <c r="H29" s="67"/>
      <c r="I29" s="67"/>
    </row>
    <row r="30" spans="2:9" ht="16.5" x14ac:dyDescent="0.3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69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60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2</v>
      </c>
      <c r="C36" s="1" t="s">
        <v>61</v>
      </c>
      <c r="D36" s="1" t="s">
        <v>62</v>
      </c>
      <c r="E36" s="1" t="s">
        <v>63</v>
      </c>
    </row>
    <row r="37" spans="2:9" x14ac:dyDescent="0.25">
      <c r="B37" s="60">
        <f>'data 2'!L3</f>
        <v>0</v>
      </c>
      <c r="C37" s="57" t="e">
        <f>(B37/B34)^0.5</f>
        <v>#DIV/0!</v>
      </c>
      <c r="D37" s="82" t="e">
        <f>IF(C37&lt;0.65,1,(1.47-0.723*C37))</f>
        <v>#DIV/0!</v>
      </c>
      <c r="E37" s="82" t="e">
        <f>IF(C37&gt;1.38,0.66/C37,D37)</f>
        <v>#DIV/0!</v>
      </c>
    </row>
    <row r="39" spans="2:9" ht="16.5" x14ac:dyDescent="0.3">
      <c r="B39" s="3" t="s">
        <v>64</v>
      </c>
      <c r="C39" s="26" t="s">
        <v>65</v>
      </c>
      <c r="E39" t="s">
        <v>66</v>
      </c>
    </row>
    <row r="40" spans="2:9" x14ac:dyDescent="0.25">
      <c r="B40" s="70" t="e">
        <f>E37</f>
        <v>#DIV/0!</v>
      </c>
      <c r="C40" s="35" t="e">
        <f>B40*D3</f>
        <v>#DIV/0!</v>
      </c>
      <c r="E40" s="28" t="e">
        <f>B37/'flange (4)'!K5/'flange (4)'!J5</f>
        <v>#DIV/0!</v>
      </c>
      <c r="G40" s="71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J6" sqref="J6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 t="s">
        <v>67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2" t="s">
        <v>38</v>
      </c>
      <c r="H4" s="53" t="s">
        <v>39</v>
      </c>
      <c r="I4" s="1" t="s">
        <v>40</v>
      </c>
      <c r="J4" s="54" t="s">
        <v>41</v>
      </c>
      <c r="K4" s="55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flange!B5</f>
        <v>#DIV/0!</v>
      </c>
      <c r="C5" s="3" t="e">
        <f>flange!C5</f>
        <v>#DIV/0!</v>
      </c>
      <c r="D5" s="3">
        <f>flange!D5</f>
        <v>0</v>
      </c>
      <c r="E5" s="3">
        <f>flange!E5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D5*'stiffner (4)'!B40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"/>
  <sheetViews>
    <sheetView workbookViewId="0">
      <selection activeCell="E41" sqref="E41"/>
    </sheetView>
  </sheetViews>
  <sheetFormatPr baseColWidth="10" defaultRowHeight="15.75" x14ac:dyDescent="0.25"/>
  <cols>
    <col min="9" max="9" width="14.625" bestFit="1" customWidth="1"/>
  </cols>
  <sheetData>
    <row r="2" spans="2:11" ht="16.5" x14ac:dyDescent="0.3">
      <c r="B2" s="1" t="s">
        <v>47</v>
      </c>
      <c r="C2" s="1" t="s">
        <v>36</v>
      </c>
      <c r="D2" s="1" t="s">
        <v>1</v>
      </c>
      <c r="E2" s="1" t="s">
        <v>3</v>
      </c>
      <c r="F2" s="1" t="s">
        <v>2</v>
      </c>
      <c r="G2" s="9"/>
      <c r="H2" s="9"/>
      <c r="I2" s="9"/>
      <c r="K2" s="54" t="s">
        <v>41</v>
      </c>
    </row>
    <row r="3" spans="2:11" x14ac:dyDescent="0.25">
      <c r="B3" s="3" t="e">
        <f>stiffner!B3</f>
        <v>#DIV/0!</v>
      </c>
      <c r="C3" s="3" t="e">
        <f>stiffner!C3</f>
        <v>#DIV/0!</v>
      </c>
      <c r="D3" s="3" t="e">
        <f>stiffner!D3</f>
        <v>#DIV/0!</v>
      </c>
      <c r="E3" s="3">
        <f>stiffner!E3</f>
        <v>0</v>
      </c>
      <c r="F3" s="56">
        <f>data!J6</f>
        <v>0</v>
      </c>
      <c r="G3" s="9"/>
      <c r="H3" s="9"/>
      <c r="I3" s="9"/>
      <c r="K3" s="57" t="e">
        <f>F3*((data!I6-stiffner!G15-'moment (2)'!H27)/'moment (2)'!H27)</f>
        <v>#DIV/0!</v>
      </c>
    </row>
    <row r="4" spans="2:11" x14ac:dyDescent="0.25">
      <c r="B4" s="9"/>
      <c r="C4" s="9"/>
      <c r="D4" s="9"/>
      <c r="E4" s="9"/>
      <c r="F4" s="9"/>
      <c r="G4" s="9"/>
      <c r="H4" s="9"/>
      <c r="I4" s="9"/>
    </row>
    <row r="5" spans="2:11" ht="18.75" x14ac:dyDescent="0.3">
      <c r="B5" s="26" t="s">
        <v>48</v>
      </c>
      <c r="C5" s="26" t="s">
        <v>49</v>
      </c>
      <c r="D5" s="26" t="s">
        <v>29</v>
      </c>
      <c r="E5" s="26" t="s">
        <v>30</v>
      </c>
      <c r="F5" s="26" t="s">
        <v>31</v>
      </c>
      <c r="G5" s="26" t="s">
        <v>32</v>
      </c>
      <c r="H5" s="26" t="s">
        <v>33</v>
      </c>
      <c r="I5" s="26" t="s">
        <v>34</v>
      </c>
    </row>
    <row r="6" spans="2:11" x14ac:dyDescent="0.25">
      <c r="B6" s="26" t="s">
        <v>50</v>
      </c>
      <c r="C6" s="38" t="e">
        <f>stiffner!C6</f>
        <v>#DIV/0!</v>
      </c>
      <c r="D6" s="35" t="e">
        <f>C6*$D$3</f>
        <v>#DIV/0!</v>
      </c>
      <c r="E6" s="38">
        <f>stiffner!E6</f>
        <v>0</v>
      </c>
      <c r="F6" s="35" t="e">
        <f>D6*E6</f>
        <v>#DIV/0!</v>
      </c>
      <c r="G6" s="59" t="e">
        <f>$G$15-E6</f>
        <v>#DIV/0!</v>
      </c>
      <c r="H6" s="38" t="e">
        <f>stiffner!H6</f>
        <v>#DIV/0!</v>
      </c>
      <c r="I6" s="38" t="e">
        <f>stiffner!I6</f>
        <v>#DIV/0!</v>
      </c>
    </row>
    <row r="7" spans="2:11" x14ac:dyDescent="0.25">
      <c r="B7" s="72">
        <v>2</v>
      </c>
      <c r="C7" s="83" t="e">
        <f>stiffner!C7</f>
        <v>#DIV/0!</v>
      </c>
      <c r="D7" s="73" t="e">
        <f t="shared" ref="D7:D14" si="0">C7*$D$3</f>
        <v>#DIV/0!</v>
      </c>
      <c r="E7" s="83" t="e">
        <f>stiffner!E7</f>
        <v>#DIV/0!</v>
      </c>
      <c r="F7" s="73" t="e">
        <f t="shared" ref="F7:F14" si="1">D7*E7</f>
        <v>#DIV/0!</v>
      </c>
      <c r="G7" s="74" t="e">
        <f t="shared" ref="G7:G14" si="2">$G$15-E7</f>
        <v>#DIV/0!</v>
      </c>
      <c r="H7" s="83">
        <f>stiffner!H7</f>
        <v>0</v>
      </c>
      <c r="I7" s="83" t="e">
        <f>stiffner!I7</f>
        <v>#DIV/0!</v>
      </c>
    </row>
    <row r="8" spans="2:11" x14ac:dyDescent="0.25">
      <c r="B8" s="27">
        <v>3</v>
      </c>
      <c r="C8" s="38" t="e">
        <f>stiffner!C8</f>
        <v>#DIV/0!</v>
      </c>
      <c r="D8" s="76" t="e">
        <f t="shared" si="0"/>
        <v>#DIV/0!</v>
      </c>
      <c r="E8" s="38">
        <f>stiffner!E8</f>
        <v>0</v>
      </c>
      <c r="F8" s="76" t="e">
        <f t="shared" si="1"/>
        <v>#DIV/0!</v>
      </c>
      <c r="G8" s="77" t="e">
        <f t="shared" si="2"/>
        <v>#DIV/0!</v>
      </c>
      <c r="H8" s="38" t="e">
        <f>stiffner!H8</f>
        <v>#DIV/0!</v>
      </c>
      <c r="I8" s="38" t="e">
        <f>stiffner!I8</f>
        <v>#DIV/0!</v>
      </c>
    </row>
    <row r="9" spans="2:11" x14ac:dyDescent="0.25">
      <c r="B9" s="72">
        <v>4</v>
      </c>
      <c r="C9" s="83" t="e">
        <f>stiffner!C9</f>
        <v>#DIV/0!</v>
      </c>
      <c r="D9" s="73" t="e">
        <f t="shared" si="0"/>
        <v>#DIV/0!</v>
      </c>
      <c r="E9" s="83" t="e">
        <f>stiffner!E9</f>
        <v>#DIV/0!</v>
      </c>
      <c r="F9" s="73" t="e">
        <f t="shared" si="1"/>
        <v>#DIV/0!</v>
      </c>
      <c r="G9" s="74" t="e">
        <f t="shared" si="2"/>
        <v>#DIV/0!</v>
      </c>
      <c r="H9" s="83">
        <f>stiffner!H9</f>
        <v>0</v>
      </c>
      <c r="I9" s="83" t="e">
        <f>stiffner!I9</f>
        <v>#DIV/0!</v>
      </c>
    </row>
    <row r="10" spans="2:11" x14ac:dyDescent="0.25">
      <c r="B10" s="26">
        <v>5</v>
      </c>
      <c r="C10" s="38" t="e">
        <f>stiffner!C10</f>
        <v>#DIV/0!</v>
      </c>
      <c r="D10" s="35" t="e">
        <f t="shared" si="0"/>
        <v>#DIV/0!</v>
      </c>
      <c r="E10" s="38">
        <f>stiffner!E10</f>
        <v>0</v>
      </c>
      <c r="F10" s="35" t="e">
        <f t="shared" si="1"/>
        <v>#DIV/0!</v>
      </c>
      <c r="G10" s="59" t="e">
        <f t="shared" si="2"/>
        <v>#DIV/0!</v>
      </c>
      <c r="H10" s="38" t="e">
        <f>stiffner!H10</f>
        <v>#DIV/0!</v>
      </c>
      <c r="I10" s="38" t="e">
        <f>stiffner!I10</f>
        <v>#DIV/0!</v>
      </c>
    </row>
    <row r="11" spans="2:11" x14ac:dyDescent="0.25">
      <c r="B11" s="72">
        <v>6</v>
      </c>
      <c r="C11" s="83" t="e">
        <f>stiffner!C11</f>
        <v>#DIV/0!</v>
      </c>
      <c r="D11" s="73" t="e">
        <f t="shared" si="0"/>
        <v>#DIV/0!</v>
      </c>
      <c r="E11" s="83" t="e">
        <f>stiffner!E11</f>
        <v>#DIV/0!</v>
      </c>
      <c r="F11" s="73" t="e">
        <f t="shared" si="1"/>
        <v>#DIV/0!</v>
      </c>
      <c r="G11" s="74" t="e">
        <f t="shared" si="2"/>
        <v>#DIV/0!</v>
      </c>
      <c r="H11" s="83">
        <f>stiffner!H11</f>
        <v>0</v>
      </c>
      <c r="I11" s="83" t="e">
        <f>stiffner!I11</f>
        <v>#DIV/0!</v>
      </c>
    </row>
    <row r="12" spans="2:11" x14ac:dyDescent="0.25">
      <c r="B12" s="26">
        <v>7</v>
      </c>
      <c r="C12" s="38" t="e">
        <f>stiffner!C12</f>
        <v>#DIV/0!</v>
      </c>
      <c r="D12" s="35" t="e">
        <f t="shared" si="0"/>
        <v>#DIV/0!</v>
      </c>
      <c r="E12" s="38">
        <f>stiffner!E12</f>
        <v>0</v>
      </c>
      <c r="F12" s="35" t="e">
        <f t="shared" si="1"/>
        <v>#DIV/0!</v>
      </c>
      <c r="G12" s="59" t="e">
        <f t="shared" si="2"/>
        <v>#DIV/0!</v>
      </c>
      <c r="H12" s="38" t="e">
        <f>stiffner!H12</f>
        <v>#DIV/0!</v>
      </c>
      <c r="I12" s="38" t="e">
        <f>stiffner!I12</f>
        <v>#DIV/0!</v>
      </c>
    </row>
    <row r="13" spans="2:11" x14ac:dyDescent="0.25">
      <c r="B13" s="72">
        <v>8</v>
      </c>
      <c r="C13" s="83" t="e">
        <f>stiffner!C13</f>
        <v>#DIV/0!</v>
      </c>
      <c r="D13" s="73" t="e">
        <f t="shared" si="0"/>
        <v>#DIV/0!</v>
      </c>
      <c r="E13" s="83" t="e">
        <f>stiffner!E13</f>
        <v>#DIV/0!</v>
      </c>
      <c r="F13" s="73" t="e">
        <f t="shared" si="1"/>
        <v>#DIV/0!</v>
      </c>
      <c r="G13" s="74" t="e">
        <f t="shared" si="2"/>
        <v>#DIV/0!</v>
      </c>
      <c r="H13" s="83">
        <f>stiffner!H13</f>
        <v>0</v>
      </c>
      <c r="I13" s="83" t="e">
        <f>stiffner!I13</f>
        <v>#DIV/0!</v>
      </c>
    </row>
    <row r="14" spans="2:11" x14ac:dyDescent="0.25">
      <c r="B14" s="26" t="s">
        <v>51</v>
      </c>
      <c r="C14" s="38" t="e">
        <f>stiffner!C14</f>
        <v>#DIV/0!</v>
      </c>
      <c r="D14" s="35" t="e">
        <f t="shared" si="0"/>
        <v>#DIV/0!</v>
      </c>
      <c r="E14" s="38">
        <f>stiffner!E14</f>
        <v>0</v>
      </c>
      <c r="F14" s="35" t="e">
        <f t="shared" si="1"/>
        <v>#DIV/0!</v>
      </c>
      <c r="G14" s="59" t="e">
        <f t="shared" si="2"/>
        <v>#DIV/0!</v>
      </c>
      <c r="H14" s="38" t="e">
        <f>stiffner!H14</f>
        <v>#DIV/0!</v>
      </c>
      <c r="I14" s="38" t="e">
        <f>stiffner!I14</f>
        <v>#DIV/0!</v>
      </c>
    </row>
    <row r="15" spans="2:11" x14ac:dyDescent="0.25">
      <c r="B15" s="63" t="s">
        <v>52</v>
      </c>
      <c r="C15" s="62"/>
      <c r="D15" s="64" t="e">
        <f>SUM(D6:D14)</f>
        <v>#DIV/0!</v>
      </c>
      <c r="E15" s="65"/>
      <c r="F15" s="35" t="e">
        <f>SUM(F6:F14)</f>
        <v>#DIV/0!</v>
      </c>
      <c r="G15" s="65" t="e">
        <f>F15/D15</f>
        <v>#DIV/0!</v>
      </c>
      <c r="H15" s="65"/>
      <c r="I15" s="78" t="e">
        <f>SUM(I6:I14)</f>
        <v>#DIV/0!</v>
      </c>
    </row>
    <row r="16" spans="2:11" x14ac:dyDescent="0.25">
      <c r="B16" s="66"/>
      <c r="C16" s="66"/>
      <c r="D16" s="66"/>
      <c r="E16" s="66"/>
      <c r="F16" s="66"/>
      <c r="G16" s="66"/>
      <c r="H16" s="67"/>
      <c r="I16" s="67"/>
    </row>
    <row r="17" spans="2:9" ht="16.5" x14ac:dyDescent="0.3">
      <c r="B17" s="26" t="s">
        <v>48</v>
      </c>
      <c r="C17" s="26" t="s">
        <v>49</v>
      </c>
      <c r="D17" s="26" t="s">
        <v>29</v>
      </c>
      <c r="E17" s="26"/>
      <c r="F17" s="26"/>
      <c r="G17" s="26"/>
      <c r="H17" s="26"/>
      <c r="I17" s="26"/>
    </row>
    <row r="18" spans="2:9" x14ac:dyDescent="0.25">
      <c r="B18" s="26" t="s">
        <v>50</v>
      </c>
      <c r="C18" s="35" t="e">
        <f>'flangebis (4)'!O5-'data 2'!C17</f>
        <v>#DIV/0!</v>
      </c>
      <c r="D18" s="35" t="e">
        <f>C18*$D$3</f>
        <v>#DIV/0!</v>
      </c>
      <c r="E18" s="35"/>
      <c r="F18" s="35"/>
      <c r="G18" s="59"/>
      <c r="H18" s="59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59"/>
      <c r="H19" s="59"/>
      <c r="I19" s="60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1"/>
      <c r="F20" s="35"/>
      <c r="G20" s="59"/>
      <c r="H20" s="59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2"/>
      <c r="F21" s="35"/>
      <c r="G21" s="59"/>
      <c r="H21" s="59"/>
      <c r="I21" s="60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1"/>
      <c r="F22" s="35"/>
      <c r="G22" s="59"/>
      <c r="H22" s="59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2"/>
      <c r="F23" s="35"/>
      <c r="G23" s="59"/>
      <c r="H23" s="59"/>
      <c r="I23" s="60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2"/>
      <c r="F24" s="35"/>
      <c r="G24" s="59"/>
      <c r="H24" s="59"/>
      <c r="I24" s="60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2"/>
      <c r="F25" s="35"/>
      <c r="G25" s="59"/>
      <c r="H25" s="59"/>
      <c r="I25" s="60"/>
    </row>
    <row r="26" spans="2:9" x14ac:dyDescent="0.25">
      <c r="B26" s="26" t="s">
        <v>51</v>
      </c>
      <c r="C26" s="35" t="e">
        <f>C18</f>
        <v>#DIV/0!</v>
      </c>
      <c r="D26" s="35" t="e">
        <f t="shared" si="3"/>
        <v>#DIV/0!</v>
      </c>
      <c r="E26" s="35"/>
      <c r="F26" s="35"/>
      <c r="G26" s="59"/>
      <c r="H26" s="59"/>
      <c r="I26" s="68"/>
    </row>
    <row r="27" spans="2:9" x14ac:dyDescent="0.25">
      <c r="B27" s="63" t="s">
        <v>52</v>
      </c>
      <c r="C27" s="62"/>
      <c r="D27" s="64" t="e">
        <f>SUM(D18:D26)</f>
        <v>#DIV/0!</v>
      </c>
      <c r="E27" s="65"/>
      <c r="F27" s="35"/>
      <c r="G27" s="65"/>
      <c r="H27" s="65"/>
      <c r="I27" s="3"/>
    </row>
    <row r="28" spans="2:9" x14ac:dyDescent="0.25">
      <c r="B28" s="66"/>
      <c r="C28" s="66"/>
      <c r="D28" s="66"/>
      <c r="E28" s="66"/>
      <c r="F28" s="66"/>
      <c r="G28" s="66"/>
      <c r="H28" s="67"/>
      <c r="I28" s="67"/>
    </row>
    <row r="29" spans="2:9" x14ac:dyDescent="0.25">
      <c r="B29" s="66"/>
      <c r="C29" s="66"/>
      <c r="D29" s="66"/>
      <c r="E29" s="66"/>
      <c r="F29" s="66"/>
      <c r="G29" s="66"/>
      <c r="H29" s="67"/>
      <c r="I29" s="67"/>
    </row>
    <row r="30" spans="2:9" ht="16.5" x14ac:dyDescent="0.3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69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60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2</v>
      </c>
      <c r="C36" s="1" t="s">
        <v>61</v>
      </c>
      <c r="D36" s="1" t="s">
        <v>62</v>
      </c>
      <c r="E36" s="1" t="s">
        <v>63</v>
      </c>
    </row>
    <row r="37" spans="2:9" x14ac:dyDescent="0.25">
      <c r="B37" s="60">
        <f>'data 2'!L3</f>
        <v>0</v>
      </c>
      <c r="C37" s="57" t="e">
        <f>(B37/B34)^0.5</f>
        <v>#DIV/0!</v>
      </c>
      <c r="D37" s="82" t="e">
        <f>IF(C37&lt;0.65,1,(1.47-0.723*C37))</f>
        <v>#DIV/0!</v>
      </c>
      <c r="E37" s="82" t="e">
        <f>IF(C37&gt;1.38,0.66/C37,D37)</f>
        <v>#DIV/0!</v>
      </c>
    </row>
    <row r="39" spans="2:9" ht="16.5" x14ac:dyDescent="0.3">
      <c r="B39" s="3" t="s">
        <v>64</v>
      </c>
      <c r="C39" s="26" t="s">
        <v>65</v>
      </c>
      <c r="E39" t="s">
        <v>66</v>
      </c>
    </row>
    <row r="40" spans="2:9" x14ac:dyDescent="0.25">
      <c r="B40" s="70" t="e">
        <f>E37</f>
        <v>#DIV/0!</v>
      </c>
      <c r="C40" s="35" t="e">
        <f>B40*D3</f>
        <v>#DIV/0!</v>
      </c>
      <c r="E40" s="28" t="e">
        <f>B37/'flange (4)'!K5/'flange (4)'!J5</f>
        <v>#DIV/0!</v>
      </c>
      <c r="G40" s="71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workbookViewId="0">
      <selection activeCell="B4" sqref="B4"/>
    </sheetView>
  </sheetViews>
  <sheetFormatPr baseColWidth="10" defaultRowHeight="15.75" x14ac:dyDescent="0.25"/>
  <sheetData>
    <row r="2" spans="2:8" ht="16.5" x14ac:dyDescent="0.3">
      <c r="B2" s="1" t="s">
        <v>1</v>
      </c>
      <c r="C2" s="1" t="s">
        <v>3</v>
      </c>
      <c r="D2" s="1" t="s">
        <v>2</v>
      </c>
      <c r="E2" s="55" t="s">
        <v>42</v>
      </c>
      <c r="F2" s="54" t="s">
        <v>41</v>
      </c>
      <c r="G2" s="1" t="s">
        <v>68</v>
      </c>
      <c r="H2" s="1" t="s">
        <v>69</v>
      </c>
    </row>
    <row r="3" spans="2:8" x14ac:dyDescent="0.25">
      <c r="B3" s="10">
        <f>web!B3</f>
        <v>0</v>
      </c>
      <c r="C3" s="10">
        <f>data!K6</f>
        <v>0</v>
      </c>
      <c r="D3" s="10">
        <f>data!J6</f>
        <v>0</v>
      </c>
      <c r="E3" s="9">
        <f>flange!K5</f>
        <v>1</v>
      </c>
      <c r="F3" s="9" t="e">
        <f>'flange (4)'!J5</f>
        <v>#DIV/0!</v>
      </c>
      <c r="G3" s="10" t="e">
        <f>'data 2'!K3-'moment (3)'!H27</f>
        <v>#DIV/0!</v>
      </c>
      <c r="H3" s="9" t="e">
        <f>G3/SIN('data 2'!C3)-'data 2'!F16</f>
        <v>#DIV/0!</v>
      </c>
    </row>
    <row r="5" spans="2:8" ht="16.5" x14ac:dyDescent="0.3">
      <c r="B5" s="1" t="s">
        <v>70</v>
      </c>
      <c r="C5" s="1" t="s">
        <v>71</v>
      </c>
      <c r="D5" s="1" t="s">
        <v>72</v>
      </c>
      <c r="E5" s="1" t="s">
        <v>73</v>
      </c>
      <c r="F5" s="9" t="s">
        <v>74</v>
      </c>
    </row>
    <row r="6" spans="2:8" x14ac:dyDescent="0.25">
      <c r="B6" s="68" t="e">
        <f>0.95*B3*(C3/F3/E3)^0.5</f>
        <v>#DIV/0!</v>
      </c>
      <c r="C6" s="68" t="e">
        <f>B6</f>
        <v>#DIV/0!</v>
      </c>
      <c r="D6" s="3" t="e">
        <f>1.5*C6</f>
        <v>#DIV/0!</v>
      </c>
      <c r="E6" s="10" t="e">
        <f>C6+D6</f>
        <v>#DIV/0!</v>
      </c>
      <c r="F6" s="9"/>
    </row>
    <row r="10" spans="2:8" ht="18.75" x14ac:dyDescent="0.3">
      <c r="B10" s="1" t="s">
        <v>4</v>
      </c>
      <c r="C10" s="26" t="s">
        <v>49</v>
      </c>
      <c r="D10" s="26" t="s">
        <v>29</v>
      </c>
      <c r="E10" s="26" t="s">
        <v>30</v>
      </c>
      <c r="F10" s="26" t="s">
        <v>31</v>
      </c>
    </row>
    <row r="11" spans="2:8" x14ac:dyDescent="0.25">
      <c r="B11" s="1">
        <v>1</v>
      </c>
      <c r="C11" s="85" t="e">
        <f>'data 2'!C28</f>
        <v>#DIV/0!</v>
      </c>
    </row>
    <row r="12" spans="2:8" x14ac:dyDescent="0.25">
      <c r="B12" s="1">
        <v>2</v>
      </c>
      <c r="C12" s="85" t="e">
        <f>'data 2'!C29</f>
        <v>#DIV/0!</v>
      </c>
    </row>
    <row r="13" spans="2:8" x14ac:dyDescent="0.25">
      <c r="B13" s="1">
        <v>3</v>
      </c>
      <c r="C13" s="85" t="e">
        <f>'data 2'!C30</f>
        <v>#DIV/0!</v>
      </c>
    </row>
    <row r="14" spans="2:8" x14ac:dyDescent="0.25">
      <c r="B14" s="1">
        <v>4</v>
      </c>
      <c r="C14" s="85" t="e">
        <f>'data 2'!C31</f>
        <v>#DIV/0!</v>
      </c>
    </row>
    <row r="15" spans="2:8" x14ac:dyDescent="0.25">
      <c r="B15" s="1">
        <v>51</v>
      </c>
      <c r="C15" s="85" t="e">
        <f>'flangebis (3)'!O5-'data 2'!C17</f>
        <v>#DIV/0!</v>
      </c>
    </row>
    <row r="16" spans="2:8" x14ac:dyDescent="0.25">
      <c r="B16" s="1">
        <v>52</v>
      </c>
      <c r="C16" s="85" t="e">
        <f>'flange (3)'!O5-'data 2'!F17</f>
        <v>#DIV/0!</v>
      </c>
    </row>
    <row r="17" spans="2:3" x14ac:dyDescent="0.25">
      <c r="B17" s="1">
        <v>6</v>
      </c>
      <c r="C17" s="85" t="e">
        <f>'data 2'!C33</f>
        <v>#DIV/0!</v>
      </c>
    </row>
    <row r="18" spans="2:3" x14ac:dyDescent="0.25">
      <c r="B18" s="1">
        <v>7</v>
      </c>
      <c r="C18" s="85" t="e">
        <f>'data 2'!C34</f>
        <v>#DIV/0!</v>
      </c>
    </row>
    <row r="19" spans="2:3" x14ac:dyDescent="0.25">
      <c r="B19" s="84" t="s">
        <v>75</v>
      </c>
      <c r="C19" s="85" t="e">
        <f>IF(-(H3-C6-D6)&gt;0,0,(-(H3-C6-D6)))</f>
        <v>#DIV/0!</v>
      </c>
    </row>
    <row r="20" spans="2:3" x14ac:dyDescent="0.25">
      <c r="B20" s="1">
        <v>8</v>
      </c>
      <c r="C20" s="85" t="e">
        <f>'data 2'!C35</f>
        <v>#DIV/0!</v>
      </c>
    </row>
    <row r="21" spans="2:3" x14ac:dyDescent="0.25">
      <c r="B21" s="1">
        <v>9</v>
      </c>
      <c r="C21" s="85" t="e">
        <f>'data 2'!C36</f>
        <v>#DIV/0!</v>
      </c>
    </row>
    <row r="22" spans="2:3" x14ac:dyDescent="0.25">
      <c r="B22" s="1">
        <v>10</v>
      </c>
      <c r="C22" s="85" t="e">
        <f>'data 2'!C37</f>
        <v>#DIV/0!</v>
      </c>
    </row>
    <row r="23" spans="2:3" x14ac:dyDescent="0.25">
      <c r="B23" s="1">
        <v>11</v>
      </c>
      <c r="C23" s="85" t="e">
        <f>'data 2'!C38</f>
        <v>#DIV/0!</v>
      </c>
    </row>
    <row r="24" spans="2:3" x14ac:dyDescent="0.25">
      <c r="B24" s="1">
        <v>12</v>
      </c>
      <c r="C24" s="85" t="e">
        <f>'data 2'!C39</f>
        <v>#DIV/0!</v>
      </c>
    </row>
    <row r="25" spans="2:3" x14ac:dyDescent="0.25">
      <c r="B25" s="1">
        <v>13</v>
      </c>
      <c r="C25" s="86" t="e">
        <f>'data 2'!C40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3" workbookViewId="0">
      <selection activeCell="E36" sqref="E36"/>
    </sheetView>
  </sheetViews>
  <sheetFormatPr baseColWidth="10" defaultRowHeight="15.75" x14ac:dyDescent="0.25"/>
  <sheetData>
    <row r="2" spans="1:10" ht="16.5" x14ac:dyDescent="0.3">
      <c r="A2" t="s">
        <v>1</v>
      </c>
      <c r="B2" s="1" t="s">
        <v>1</v>
      </c>
      <c r="C2" s="1" t="s">
        <v>3</v>
      </c>
      <c r="D2" s="1" t="s">
        <v>2</v>
      </c>
    </row>
    <row r="3" spans="1:10" x14ac:dyDescent="0.25">
      <c r="A3">
        <f>data!F6</f>
        <v>0</v>
      </c>
      <c r="B3" s="3" t="e">
        <f>flange!C5</f>
        <v>#DIV/0!</v>
      </c>
      <c r="C3" s="3">
        <f>data!K6</f>
        <v>0</v>
      </c>
      <c r="D3" s="3">
        <f>data!J6</f>
        <v>0</v>
      </c>
    </row>
    <row r="8" spans="1:10" ht="18.75" x14ac:dyDescent="0.3">
      <c r="B8" s="1" t="s">
        <v>4</v>
      </c>
      <c r="C8" s="26" t="s">
        <v>49</v>
      </c>
      <c r="D8" s="26" t="s">
        <v>76</v>
      </c>
      <c r="E8" s="26" t="s">
        <v>29</v>
      </c>
      <c r="F8" s="26" t="s">
        <v>30</v>
      </c>
      <c r="G8" s="26" t="s">
        <v>31</v>
      </c>
      <c r="H8" s="26" t="s">
        <v>32</v>
      </c>
      <c r="I8" s="27" t="s">
        <v>33</v>
      </c>
      <c r="J8" s="26" t="s">
        <v>34</v>
      </c>
    </row>
    <row r="9" spans="1:10" x14ac:dyDescent="0.25">
      <c r="A9" s="87">
        <v>0</v>
      </c>
      <c r="B9" s="26">
        <v>1</v>
      </c>
      <c r="C9" s="35" t="e">
        <f>web!C11</f>
        <v>#DIV/0!</v>
      </c>
      <c r="D9" s="88" t="e">
        <f>B$3*'stiffnerbis (4)'!B$40</f>
        <v>#DIV/0!</v>
      </c>
      <c r="E9" s="88" t="e">
        <f>IF('stiffnerbis (4)'!G$40&lt;1,C9*D9*'stiffnerbis (4)'!E$40,C9*B$3)</f>
        <v>#DIV/0!</v>
      </c>
      <c r="F9" s="3">
        <f>'data 2'!J28</f>
        <v>0</v>
      </c>
      <c r="G9" s="1" t="e">
        <f>E9*F9</f>
        <v>#DIV/0!</v>
      </c>
      <c r="H9" s="3" t="e">
        <f t="shared" ref="H9:H23" si="0">$H$27-F9</f>
        <v>#DIV/0!</v>
      </c>
      <c r="I9" s="57" t="e">
        <f>'data 2'!M28</f>
        <v>#DIV/0!</v>
      </c>
      <c r="J9" s="38" t="e">
        <f>E9*I9^2/12+E9*H9^2</f>
        <v>#DIV/0!</v>
      </c>
    </row>
    <row r="10" spans="1:10" x14ac:dyDescent="0.25">
      <c r="A10" s="87">
        <v>0.80870598857129861</v>
      </c>
      <c r="B10" s="26">
        <v>2</v>
      </c>
      <c r="C10" s="35" t="e">
        <f>web!C12</f>
        <v>#DIV/0!</v>
      </c>
      <c r="D10" s="88" t="e">
        <f>B$3*'stiffnerbis (4)'!B$40</f>
        <v>#DIV/0!</v>
      </c>
      <c r="E10" s="88" t="e">
        <f>IF('stiffnerbis (4)'!G$40&lt;1,C10*D10*'stiffnerbis (4)'!E$40,C10*B$3)</f>
        <v>#DIV/0!</v>
      </c>
      <c r="F10" s="3" t="e">
        <f>'data 2'!J29</f>
        <v>#DIV/0!</v>
      </c>
      <c r="G10" s="1" t="e">
        <f t="shared" ref="G10:G23" si="1">E10*F10</f>
        <v>#DIV/0!</v>
      </c>
      <c r="H10" s="3" t="e">
        <f t="shared" si="0"/>
        <v>#DIV/0!</v>
      </c>
      <c r="I10" s="57"/>
      <c r="J10" s="48" t="e">
        <f>D10*'data 2'!E$3^3*(('data 2'!B$3+SIN('data 2'!B$3)*COS('data 2'!B$3))/2-SIN('data 2'!B$3)^2/'data 2'!B$3)+E10*H10^2</f>
        <v>#DIV/0!</v>
      </c>
    </row>
    <row r="11" spans="1:10" x14ac:dyDescent="0.25">
      <c r="A11" s="87">
        <v>10.497526735775734</v>
      </c>
      <c r="B11" s="26">
        <v>3</v>
      </c>
      <c r="C11" s="35" t="e">
        <f>web!C13</f>
        <v>#DIV/0!</v>
      </c>
      <c r="D11" s="88" t="e">
        <f>B$3*'stiffnerbis (4)'!B$40</f>
        <v>#DIV/0!</v>
      </c>
      <c r="E11" s="88" t="e">
        <f>IF('stiffnerbis (4)'!G$40&lt;1,C11*D11*'stiffnerbis (4)'!E$40,C11*B$3)</f>
        <v>#DIV/0!</v>
      </c>
      <c r="F11" s="3">
        <f>'data 2'!J30</f>
        <v>0</v>
      </c>
      <c r="G11" s="1" t="e">
        <f t="shared" si="1"/>
        <v>#DIV/0!</v>
      </c>
      <c r="H11" s="3" t="e">
        <f t="shared" si="0"/>
        <v>#DIV/0!</v>
      </c>
      <c r="I11" s="57" t="e">
        <f>'data 2'!M30</f>
        <v>#DIV/0!</v>
      </c>
      <c r="J11" s="38" t="e">
        <f>E11*I11^2/12+E11*H11^2</f>
        <v>#DIV/0!</v>
      </c>
    </row>
    <row r="12" spans="1:10" x14ac:dyDescent="0.25">
      <c r="A12" s="87">
        <v>0.80870598857129861</v>
      </c>
      <c r="B12" s="26">
        <v>4</v>
      </c>
      <c r="C12" s="35" t="e">
        <f>web!C14</f>
        <v>#DIV/0!</v>
      </c>
      <c r="D12" s="88" t="e">
        <f>B$3*'stiffnerbis (4)'!B$40</f>
        <v>#DIV/0!</v>
      </c>
      <c r="E12" s="88" t="e">
        <f>IF('stiffnerbis (4)'!G$40&lt;1,C12*D12*'stiffnerbis (4)'!E$40,C12*B$3)</f>
        <v>#DIV/0!</v>
      </c>
      <c r="F12" s="3" t="e">
        <f>'data 2'!J31</f>
        <v>#DIV/0!</v>
      </c>
      <c r="G12" s="1" t="e">
        <f t="shared" si="1"/>
        <v>#DIV/0!</v>
      </c>
      <c r="H12" s="3" t="e">
        <f t="shared" si="0"/>
        <v>#DIV/0!</v>
      </c>
      <c r="I12" s="57"/>
      <c r="J12" s="48" t="e">
        <f>D12*'data 2'!E$3^3*(('data 2'!B$3+SIN('data 2'!B$3)*COS('data 2'!B$3))/2-SIN('data 2'!B$3)^2/'data 2'!B$3)+E12*H12^2</f>
        <v>#DIV/0!</v>
      </c>
    </row>
    <row r="13" spans="1:10" x14ac:dyDescent="0.25">
      <c r="B13" s="26">
        <v>51</v>
      </c>
      <c r="C13" s="35" t="e">
        <f>web!C15</f>
        <v>#DIV/0!</v>
      </c>
      <c r="D13" s="88" t="e">
        <f>B$3*'stiffnerbis (4)'!B$40</f>
        <v>#DIV/0!</v>
      </c>
      <c r="E13" s="88" t="e">
        <f>IF('stiffnerbis (4)'!G$40&lt;1,C13*D13*'stiffnerbis (4)'!E$40,C13*B$3)</f>
        <v>#DIV/0!</v>
      </c>
      <c r="F13" s="3">
        <f>'data 2'!J32</f>
        <v>0</v>
      </c>
      <c r="G13" s="1" t="e">
        <f t="shared" si="1"/>
        <v>#DIV/0!</v>
      </c>
      <c r="H13" s="3" t="e">
        <f t="shared" si="0"/>
        <v>#DIV/0!</v>
      </c>
      <c r="I13" s="57" t="e">
        <f>'data 2'!M32</f>
        <v>#DIV/0!</v>
      </c>
      <c r="J13" s="38" t="e">
        <f>E13*I13^2/12+E13*H13^2</f>
        <v>#DIV/0!</v>
      </c>
    </row>
    <row r="14" spans="1:10" x14ac:dyDescent="0.25">
      <c r="B14" s="26">
        <v>52</v>
      </c>
      <c r="C14" s="35" t="e">
        <f>web!C16</f>
        <v>#DIV/0!</v>
      </c>
      <c r="D14" s="57" t="e">
        <f t="shared" ref="D14:D15" si="2">B$3</f>
        <v>#DIV/0!</v>
      </c>
      <c r="E14" s="57" t="e">
        <f t="shared" ref="E14:E22" si="3">C14*D14</f>
        <v>#DIV/0!</v>
      </c>
      <c r="F14" s="3">
        <f>'data 2'!J32</f>
        <v>0</v>
      </c>
      <c r="G14" s="1" t="e">
        <f t="shared" si="1"/>
        <v>#DIV/0!</v>
      </c>
      <c r="H14" s="3" t="e">
        <f t="shared" si="0"/>
        <v>#DIV/0!</v>
      </c>
      <c r="I14" s="57" t="e">
        <f>'data 2'!M32</f>
        <v>#DIV/0!</v>
      </c>
      <c r="J14" s="38" t="e">
        <f>E14*I14^2/12+E14*H14^2</f>
        <v>#DIV/0!</v>
      </c>
    </row>
    <row r="15" spans="1:10" x14ac:dyDescent="0.25">
      <c r="B15" s="26">
        <v>6</v>
      </c>
      <c r="C15" s="35" t="e">
        <f>web!C17</f>
        <v>#DIV/0!</v>
      </c>
      <c r="D15" s="57" t="e">
        <f t="shared" si="2"/>
        <v>#DIV/0!</v>
      </c>
      <c r="E15" s="57" t="e">
        <f t="shared" si="3"/>
        <v>#DIV/0!</v>
      </c>
      <c r="F15" s="3" t="e">
        <f>'data 2'!J33</f>
        <v>#DIV/0!</v>
      </c>
      <c r="G15" s="1" t="e">
        <f t="shared" si="1"/>
        <v>#DIV/0!</v>
      </c>
      <c r="H15" s="3" t="e">
        <f t="shared" si="0"/>
        <v>#DIV/0!</v>
      </c>
      <c r="I15" s="57"/>
      <c r="J15" s="48" t="e">
        <f>D15*'data 2'!E$3^3*(('data 2'!C$3+SIN('data 2'!C$3)*COS('data 2'!C$3))/2-SIN('data 2'!C$3)^2/'data 2'!C$3)+E15*H15^2</f>
        <v>#DIV/0!</v>
      </c>
    </row>
    <row r="16" spans="1:10" x14ac:dyDescent="0.25">
      <c r="B16" s="26">
        <v>7</v>
      </c>
      <c r="C16" s="35" t="e">
        <f>web!C18</f>
        <v>#DIV/0!</v>
      </c>
      <c r="D16" s="57">
        <f>A$3</f>
        <v>0</v>
      </c>
      <c r="E16" s="57" t="e">
        <f t="shared" si="3"/>
        <v>#DIV/0!</v>
      </c>
      <c r="F16" s="3">
        <f>'data 2'!J34</f>
        <v>0</v>
      </c>
      <c r="G16" s="1" t="e">
        <f t="shared" si="1"/>
        <v>#DIV/0!</v>
      </c>
      <c r="H16" s="3" t="e">
        <f t="shared" si="0"/>
        <v>#DIV/0!</v>
      </c>
      <c r="I16" s="57" t="e">
        <f>'data 2'!M34</f>
        <v>#DIV/0!</v>
      </c>
      <c r="J16" s="38" t="e">
        <f>E16*I16^2/12+E16*H16^2</f>
        <v>#DIV/0!</v>
      </c>
    </row>
    <row r="17" spans="2:11" x14ac:dyDescent="0.25">
      <c r="B17" s="36" t="s">
        <v>75</v>
      </c>
      <c r="C17" s="35" t="e">
        <f>'web (3)'!C19</f>
        <v>#DIV/0!</v>
      </c>
      <c r="D17" s="57">
        <f t="shared" ref="D17:D23" si="4">A$3</f>
        <v>0</v>
      </c>
      <c r="E17" s="57" t="e">
        <f t="shared" si="3"/>
        <v>#DIV/0!</v>
      </c>
      <c r="F17" s="3" t="e">
        <f>'moment (2)'!H27+('web (3)'!D6-'web (3)'!C19/2)*SIN(data!O6)</f>
        <v>#DIV/0!</v>
      </c>
      <c r="G17" s="1" t="e">
        <f t="shared" si="1"/>
        <v>#DIV/0!</v>
      </c>
      <c r="H17" s="3" t="e">
        <f t="shared" si="0"/>
        <v>#DIV/0!</v>
      </c>
      <c r="I17" s="93" t="e">
        <f>-C17*SIN(data!O6)</f>
        <v>#DIV/0!</v>
      </c>
      <c r="J17" s="38" t="e">
        <f>E17*I17^2/12+E17*H17^2</f>
        <v>#DIV/0!</v>
      </c>
    </row>
    <row r="18" spans="2:11" x14ac:dyDescent="0.25">
      <c r="B18" s="26">
        <v>8</v>
      </c>
      <c r="C18" s="35" t="e">
        <f>web!C20</f>
        <v>#DIV/0!</v>
      </c>
      <c r="D18" s="57">
        <f t="shared" si="4"/>
        <v>0</v>
      </c>
      <c r="E18" s="57" t="e">
        <f t="shared" si="3"/>
        <v>#DIV/0!</v>
      </c>
      <c r="F18" s="3">
        <f>'data 2'!J35</f>
        <v>0</v>
      </c>
      <c r="G18" s="1" t="e">
        <f t="shared" si="1"/>
        <v>#DIV/0!</v>
      </c>
      <c r="H18" s="3" t="e">
        <f t="shared" si="0"/>
        <v>#DIV/0!</v>
      </c>
      <c r="I18" s="57"/>
      <c r="J18" s="48" t="e">
        <f>D18*'data 2'!E$3^3*(('data 2'!C$3+SIN('data 2'!C$3)*COS('data 2'!C$3))/2-SIN('data 2'!C$3)^2/'data 2'!C$3)+E18*H18^2</f>
        <v>#DIV/0!</v>
      </c>
    </row>
    <row r="19" spans="2:11" x14ac:dyDescent="0.25">
      <c r="B19" s="26">
        <v>9</v>
      </c>
      <c r="C19" s="35" t="e">
        <f>web!C21</f>
        <v>#DIV/0!</v>
      </c>
      <c r="D19" s="57">
        <f t="shared" si="4"/>
        <v>0</v>
      </c>
      <c r="E19" s="57" t="e">
        <f t="shared" si="3"/>
        <v>#DIV/0!</v>
      </c>
      <c r="F19" s="3">
        <f>'data 2'!J36</f>
        <v>0</v>
      </c>
      <c r="G19" s="1" t="e">
        <f t="shared" si="1"/>
        <v>#DIV/0!</v>
      </c>
      <c r="H19" s="3" t="e">
        <f t="shared" si="0"/>
        <v>#DIV/0!</v>
      </c>
      <c r="I19" s="57" t="e">
        <f>'data 2'!M36</f>
        <v>#DIV/0!</v>
      </c>
      <c r="J19" s="38" t="e">
        <f>E19*I19^2/12+E19*H19^2</f>
        <v>#DIV/0!</v>
      </c>
    </row>
    <row r="20" spans="2:11" x14ac:dyDescent="0.25">
      <c r="B20" s="26">
        <v>10</v>
      </c>
      <c r="C20" s="35" t="e">
        <f>web!C22</f>
        <v>#DIV/0!</v>
      </c>
      <c r="D20" s="57">
        <f t="shared" si="4"/>
        <v>0</v>
      </c>
      <c r="E20" s="57" t="e">
        <f t="shared" si="3"/>
        <v>#DIV/0!</v>
      </c>
      <c r="F20" s="3">
        <f>'data 2'!J37</f>
        <v>0</v>
      </c>
      <c r="G20" s="1" t="e">
        <f t="shared" si="1"/>
        <v>#DIV/0!</v>
      </c>
      <c r="H20" s="3" t="e">
        <f t="shared" si="0"/>
        <v>#DIV/0!</v>
      </c>
      <c r="I20" s="57"/>
      <c r="J20" s="48" t="e">
        <f>D20*'data 2'!E$3^3*(('data 2'!D$3+SIN('data 2'!D$3)*COS('data 2'!D$3))/2-SIN('data 2'!D$3)^2/'data 2'!D$3)+E20*H20^2</f>
        <v>#DIV/0!</v>
      </c>
    </row>
    <row r="21" spans="2:11" x14ac:dyDescent="0.25">
      <c r="B21" s="26">
        <v>11</v>
      </c>
      <c r="C21" s="35" t="e">
        <f>web!C23</f>
        <v>#DIV/0!</v>
      </c>
      <c r="D21" s="57">
        <f t="shared" si="4"/>
        <v>0</v>
      </c>
      <c r="E21" s="57" t="e">
        <f t="shared" si="3"/>
        <v>#DIV/0!</v>
      </c>
      <c r="F21" s="3">
        <f>'data 2'!J38</f>
        <v>0</v>
      </c>
      <c r="G21" s="1" t="e">
        <f>E21*F21</f>
        <v>#DIV/0!</v>
      </c>
      <c r="H21" s="3" t="e">
        <f t="shared" si="0"/>
        <v>#DIV/0!</v>
      </c>
      <c r="I21" s="57" t="e">
        <f>'data 2'!M38</f>
        <v>#DIV/0!</v>
      </c>
      <c r="J21" s="38" t="e">
        <f>E21*I21^2/12+E21*H21^2</f>
        <v>#DIV/0!</v>
      </c>
    </row>
    <row r="22" spans="2:11" x14ac:dyDescent="0.25">
      <c r="B22" s="26">
        <v>12</v>
      </c>
      <c r="C22" s="35" t="e">
        <f>web!C24</f>
        <v>#DIV/0!</v>
      </c>
      <c r="D22" s="57">
        <f t="shared" si="4"/>
        <v>0</v>
      </c>
      <c r="E22" s="57" t="e">
        <f t="shared" si="3"/>
        <v>#DIV/0!</v>
      </c>
      <c r="F22" s="3" t="e">
        <f>'data 2'!J39</f>
        <v>#DIV/0!</v>
      </c>
      <c r="G22" s="1" t="e">
        <f t="shared" si="1"/>
        <v>#DIV/0!</v>
      </c>
      <c r="H22" s="3" t="e">
        <f t="shared" si="0"/>
        <v>#DIV/0!</v>
      </c>
      <c r="I22" s="57"/>
      <c r="J22" s="48" t="e">
        <f>D22*'data 2'!E$3^3*(('data 2'!D$3+SIN('data 2'!D$3)*COS('data 2'!D$3))/2-SIN('data 2'!D$3)^2/'data 2'!D$3)+E22*H22^2</f>
        <v>#DIV/0!</v>
      </c>
    </row>
    <row r="23" spans="2:11" x14ac:dyDescent="0.25">
      <c r="B23" s="26">
        <v>13</v>
      </c>
      <c r="C23" s="35" t="e">
        <f>web!C25</f>
        <v>#DIV/0!</v>
      </c>
      <c r="D23" s="57">
        <f t="shared" si="4"/>
        <v>0</v>
      </c>
      <c r="E23" s="57" t="e">
        <f>C23*D23</f>
        <v>#DIV/0!</v>
      </c>
      <c r="F23" s="3">
        <f>'data 2'!J40</f>
        <v>0</v>
      </c>
      <c r="G23" s="1" t="e">
        <f t="shared" si="1"/>
        <v>#DIV/0!</v>
      </c>
      <c r="H23" s="3" t="e">
        <f t="shared" si="0"/>
        <v>#DIV/0!</v>
      </c>
      <c r="I23" s="57">
        <f>'data 2'!M40</f>
        <v>0</v>
      </c>
      <c r="J23" s="38" t="e">
        <f>E23*I23^2/12+E23*H23^2</f>
        <v>#DIV/0!</v>
      </c>
    </row>
    <row r="24" spans="2:11" x14ac:dyDescent="0.25">
      <c r="B24" s="26"/>
      <c r="C24" s="1"/>
      <c r="D24" s="1"/>
      <c r="E24" s="3"/>
      <c r="F24" s="1"/>
      <c r="G24" s="3"/>
      <c r="H24" s="3"/>
      <c r="I24" s="1"/>
      <c r="J24" s="31"/>
    </row>
    <row r="27" spans="2:11" x14ac:dyDescent="0.25">
      <c r="B27" s="26" t="s">
        <v>52</v>
      </c>
      <c r="C27" s="9"/>
      <c r="D27" s="9"/>
      <c r="E27" s="3" t="e">
        <f>SUM(E9:E26)</f>
        <v>#DIV/0!</v>
      </c>
      <c r="G27" s="3" t="e">
        <f>SUM(G9:G26)</f>
        <v>#DIV/0!</v>
      </c>
      <c r="H27" s="3" t="e">
        <f>G27/E27</f>
        <v>#DIV/0!</v>
      </c>
      <c r="J27" s="31" t="e">
        <f>SUM(J9:J26)</f>
        <v>#DIV/0!</v>
      </c>
      <c r="K27" s="89" t="s">
        <v>77</v>
      </c>
    </row>
    <row r="28" spans="2:11" x14ac:dyDescent="0.25">
      <c r="E28" s="9" t="e">
        <f>E27*2</f>
        <v>#DIV/0!</v>
      </c>
      <c r="G28" s="9"/>
      <c r="H28" s="10" t="e">
        <f>data!I6-'moment (4)'!H27</f>
        <v>#DIV/0!</v>
      </c>
      <c r="J28" s="9" t="e">
        <f>J27*2</f>
        <v>#DIV/0!</v>
      </c>
      <c r="K28" s="89" t="s">
        <v>78</v>
      </c>
    </row>
    <row r="29" spans="2:11" x14ac:dyDescent="0.25">
      <c r="B29" s="9" t="s">
        <v>80</v>
      </c>
      <c r="C29" s="9" t="e">
        <f>J27/MAX(H27,H28)</f>
        <v>#DIV/0!</v>
      </c>
      <c r="D29" s="9" t="s">
        <v>77</v>
      </c>
      <c r="J29" s="9" t="e">
        <f>J28/data!H6</f>
        <v>#DIV/0!</v>
      </c>
      <c r="K29" s="89" t="s">
        <v>79</v>
      </c>
    </row>
    <row r="30" spans="2:11" x14ac:dyDescent="0.25">
      <c r="B30" s="9" t="s">
        <v>80</v>
      </c>
      <c r="C30" s="9" t="e">
        <f>2*C29</f>
        <v>#DIV/0!</v>
      </c>
      <c r="D30" s="9" t="s">
        <v>78</v>
      </c>
    </row>
    <row r="31" spans="2:11" x14ac:dyDescent="0.25">
      <c r="B31" s="9" t="s">
        <v>80</v>
      </c>
      <c r="C31" s="9" t="e">
        <f>C30/data!H6</f>
        <v>#DIV/0!</v>
      </c>
      <c r="D31" s="9" t="s">
        <v>81</v>
      </c>
    </row>
    <row r="32" spans="2:11" x14ac:dyDescent="0.25">
      <c r="B32" s="9"/>
      <c r="C32" s="9"/>
      <c r="D32" s="9"/>
    </row>
    <row r="33" spans="2:5" x14ac:dyDescent="0.25">
      <c r="B33" s="9" t="s">
        <v>82</v>
      </c>
      <c r="C33" s="9" t="s">
        <v>82</v>
      </c>
      <c r="D33" s="9"/>
    </row>
    <row r="34" spans="2:5" x14ac:dyDescent="0.25">
      <c r="B34" s="90" t="e">
        <f>D3*C31*1</f>
        <v>#DIV/0!</v>
      </c>
      <c r="C34" s="90" t="s">
        <v>83</v>
      </c>
      <c r="D34" s="91"/>
    </row>
    <row r="35" spans="2:5" x14ac:dyDescent="0.25">
      <c r="B35" s="92" t="e">
        <f>B34/1000</f>
        <v>#DIV/0!</v>
      </c>
      <c r="C35" t="s">
        <v>84</v>
      </c>
      <c r="E35" t="e">
        <f>(5.26-B35)/5.26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workbookViewId="0">
      <selection activeCell="J12" sqref="J12"/>
    </sheetView>
  </sheetViews>
  <sheetFormatPr baseColWidth="10" defaultRowHeight="15.75" x14ac:dyDescent="0.25"/>
  <sheetData>
    <row r="2" spans="1:11" ht="16.5" x14ac:dyDescent="0.3">
      <c r="B2" s="102" t="s">
        <v>116</v>
      </c>
      <c r="C2" s="102" t="s">
        <v>91</v>
      </c>
      <c r="D2" s="102" t="s">
        <v>0</v>
      </c>
      <c r="E2" s="102" t="s">
        <v>1</v>
      </c>
      <c r="F2" s="102" t="s">
        <v>2</v>
      </c>
      <c r="G2" s="102" t="s">
        <v>3</v>
      </c>
      <c r="H2" s="102" t="s">
        <v>92</v>
      </c>
      <c r="I2" s="102" t="s">
        <v>54</v>
      </c>
      <c r="J2" s="103" t="s">
        <v>93</v>
      </c>
    </row>
    <row r="3" spans="1:11" x14ac:dyDescent="0.25">
      <c r="B3" s="102">
        <f>2*data!C15</f>
        <v>0</v>
      </c>
      <c r="C3" s="104" t="e">
        <f>data!O6*180/PI()</f>
        <v>#DIV/0!</v>
      </c>
      <c r="D3" s="104"/>
      <c r="E3" s="105">
        <f>data!F6</f>
        <v>0</v>
      </c>
      <c r="F3" s="105">
        <f>data!J6</f>
        <v>0</v>
      </c>
      <c r="G3" s="104">
        <v>210000</v>
      </c>
      <c r="H3" s="104">
        <f>data!D6</f>
        <v>0</v>
      </c>
      <c r="I3" s="104">
        <f>data!I6</f>
        <v>0</v>
      </c>
      <c r="J3" s="104" t="e">
        <f>ATAN(I3/(data!E12+data!E13+data!E14))*180/PI()</f>
        <v>#DIV/0!</v>
      </c>
    </row>
    <row r="4" spans="1:11" x14ac:dyDescent="0.25">
      <c r="A4" s="106"/>
      <c r="B4" s="106"/>
      <c r="C4" s="106"/>
      <c r="D4" s="106"/>
      <c r="E4" s="106" t="s">
        <v>94</v>
      </c>
      <c r="F4" s="106"/>
      <c r="G4" s="106"/>
      <c r="H4" s="106"/>
      <c r="I4" s="106"/>
      <c r="J4" s="106"/>
      <c r="K4" s="9"/>
    </row>
    <row r="5" spans="1:11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9"/>
    </row>
    <row r="6" spans="1:11" ht="16.5" x14ac:dyDescent="0.3">
      <c r="B6" s="104" t="s">
        <v>95</v>
      </c>
      <c r="C6" s="107" t="s">
        <v>96</v>
      </c>
      <c r="D6" s="104" t="s">
        <v>97</v>
      </c>
      <c r="E6" s="108" t="s">
        <v>98</v>
      </c>
      <c r="F6" s="106" t="s">
        <v>99</v>
      </c>
      <c r="G6" s="106"/>
      <c r="H6" s="106"/>
      <c r="I6" s="106"/>
      <c r="J6" s="106"/>
      <c r="K6" s="9"/>
    </row>
    <row r="7" spans="1:11" x14ac:dyDescent="0.25">
      <c r="B7" s="104" t="e">
        <f>H3/E3</f>
        <v>#DIV/0!</v>
      </c>
      <c r="C7" s="104" t="e">
        <f>I3/E3</f>
        <v>#DIV/0!</v>
      </c>
      <c r="D7" s="104" t="e">
        <f>200*SIN(J3*PI()/180)</f>
        <v>#DIV/0!</v>
      </c>
      <c r="E7" s="106">
        <v>40</v>
      </c>
      <c r="F7" s="106">
        <f>1.5*I3</f>
        <v>0</v>
      </c>
      <c r="G7" s="106"/>
      <c r="H7" s="106"/>
      <c r="I7" s="106"/>
      <c r="J7" s="106"/>
      <c r="K7" s="9"/>
    </row>
    <row r="8" spans="1:11" x14ac:dyDescent="0.2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9"/>
    </row>
    <row r="9" spans="1:11" x14ac:dyDescent="0.25">
      <c r="A9" s="106"/>
      <c r="B9" s="109"/>
      <c r="C9" s="109"/>
      <c r="D9" s="109"/>
      <c r="E9" s="106"/>
      <c r="F9" s="106"/>
      <c r="G9" s="106"/>
      <c r="H9" s="106"/>
      <c r="I9" s="106"/>
      <c r="J9" s="106"/>
      <c r="K9" s="9"/>
    </row>
    <row r="10" spans="1:11" x14ac:dyDescent="0.25">
      <c r="A10" s="106"/>
      <c r="B10" s="106"/>
      <c r="C10" s="106"/>
      <c r="D10" s="106"/>
      <c r="E10" s="106"/>
      <c r="F10" s="106"/>
      <c r="G10" s="106"/>
      <c r="H10" s="106"/>
      <c r="I10" s="110" t="s">
        <v>100</v>
      </c>
      <c r="J10" s="106"/>
      <c r="K10" s="9"/>
    </row>
    <row r="11" spans="1:11" ht="16.5" x14ac:dyDescent="0.3">
      <c r="A11" s="106"/>
      <c r="B11" s="102" t="s">
        <v>101</v>
      </c>
      <c r="C11" s="111" t="s">
        <v>102</v>
      </c>
      <c r="D11" s="102" t="s">
        <v>103</v>
      </c>
      <c r="E11" s="102" t="s">
        <v>104</v>
      </c>
      <c r="F11" s="119" t="s">
        <v>117</v>
      </c>
      <c r="G11" s="119" t="s">
        <v>118</v>
      </c>
      <c r="H11" s="120" t="s">
        <v>119</v>
      </c>
      <c r="I11" s="120" t="s">
        <v>120</v>
      </c>
      <c r="J11" s="102" t="s">
        <v>105</v>
      </c>
      <c r="K11" s="102" t="s">
        <v>106</v>
      </c>
    </row>
    <row r="12" spans="1:11" x14ac:dyDescent="0.25">
      <c r="A12" s="102" t="s">
        <v>107</v>
      </c>
      <c r="B12" s="112">
        <v>10</v>
      </c>
      <c r="C12" s="102">
        <v>7.4999999999999997E-2</v>
      </c>
      <c r="D12" s="102">
        <v>1</v>
      </c>
      <c r="E12" s="113" t="e">
        <f>C12*$E$3^2*($F$3*$G$3)^0.5*(1-0.1*$B$7^0.5)*(0.5+(0.02*B12/$E$3)^0.5)*(2.4+($J$3/90)^2)/D12</f>
        <v>#DIV/0!</v>
      </c>
      <c r="F12" s="121" t="e">
        <f>SIN(($C$3-$J$3)*PI()/180)*data!$C$11</f>
        <v>#DIV/0!</v>
      </c>
      <c r="G12" s="121" t="e">
        <f>SIN(($C$3-$J$3)*PI()/180)*data!C$14</f>
        <v>#DIV/0!</v>
      </c>
      <c r="H12" s="122" t="e">
        <f>1.45-0.05*F12/$E$3</f>
        <v>#DIV/0!</v>
      </c>
      <c r="I12" s="123" t="e">
        <f>E12*H12</f>
        <v>#DIV/0!</v>
      </c>
      <c r="J12" s="104" t="e">
        <f>I12/data!H$6*2*1000</f>
        <v>#DIV/0!</v>
      </c>
      <c r="K12" s="113" t="e">
        <f>J12/1000</f>
        <v>#DIV/0!</v>
      </c>
    </row>
    <row r="13" spans="1:11" x14ac:dyDescent="0.25">
      <c r="A13" s="102" t="s">
        <v>108</v>
      </c>
      <c r="B13" s="114">
        <v>160</v>
      </c>
      <c r="C13" s="102">
        <v>0.15</v>
      </c>
      <c r="D13" s="102">
        <v>1</v>
      </c>
      <c r="E13" s="113" t="e">
        <f>C13*$E$3^2*($F$3*$G$3)^0.5*(1-0.1*$B$7^0.5)*(0.5+(0.02*B13/$E$3)^0.5)*(2.4+($J$3/90)^2)/D13</f>
        <v>#DIV/0!</v>
      </c>
      <c r="F13" s="121" t="e">
        <f>SIN(($C$3-$J$3)*PI()/180)*data!$C$11</f>
        <v>#DIV/0!</v>
      </c>
      <c r="G13" s="121" t="e">
        <f>SIN(($C$3-$J$3)*PI()/180)*data!C$14</f>
        <v>#DIV/0!</v>
      </c>
      <c r="H13" s="122" t="e">
        <f>1.45-0.05*F13/$E$3</f>
        <v>#DIV/0!</v>
      </c>
      <c r="I13" s="123" t="e">
        <f>E13*H13</f>
        <v>#DIV/0!</v>
      </c>
      <c r="J13" s="104" t="e">
        <f>I13/data!H$6*2*1000</f>
        <v>#DIV/0!</v>
      </c>
      <c r="K13" s="113" t="e">
        <f t="shared" ref="K13:K14" si="0">J13/1000</f>
        <v>#DIV/0!</v>
      </c>
    </row>
    <row r="14" spans="1:11" x14ac:dyDescent="0.25">
      <c r="A14" s="102" t="s">
        <v>108</v>
      </c>
      <c r="B14" s="114">
        <v>60</v>
      </c>
      <c r="C14" s="102">
        <v>0.15</v>
      </c>
      <c r="D14" s="102">
        <v>1</v>
      </c>
      <c r="E14" s="113" t="e">
        <f>C14*$E$3^2*($F$3*$G$3)^0.5*(1-0.1*$B$7^0.5)*(0.5+(0.02*B14/$E$3)^0.5)*(2.4+($J$3/90)^2)/D14</f>
        <v>#DIV/0!</v>
      </c>
      <c r="F14" s="121" t="e">
        <f>SIN(($C$3-$J$3)*PI()/180)*data!$C$11</f>
        <v>#DIV/0!</v>
      </c>
      <c r="G14" s="121" t="e">
        <f>SIN(($C$3-$J$3)*PI()/180)*data!C$14</f>
        <v>#DIV/0!</v>
      </c>
      <c r="H14" s="122" t="e">
        <f>1.45-0.05*F14/$E$3</f>
        <v>#DIV/0!</v>
      </c>
      <c r="I14" s="123" t="e">
        <f>E14*H14</f>
        <v>#DIV/0!</v>
      </c>
      <c r="J14" s="104" t="e">
        <f>I14/data!H$6*2*1000</f>
        <v>#DIV/0!</v>
      </c>
      <c r="K14" s="113" t="e">
        <f t="shared" si="0"/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B5" sqref="B5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2" t="s">
        <v>38</v>
      </c>
      <c r="H4" s="53" t="s">
        <v>39</v>
      </c>
      <c r="I4" s="1" t="s">
        <v>40</v>
      </c>
      <c r="J4" s="54" t="s">
        <v>41</v>
      </c>
      <c r="K4" s="55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'data 2'!C8-'data 2'!C16-'data 2'!F16</f>
        <v>#DIV/0!</v>
      </c>
      <c r="C5" s="57" t="e">
        <f>data!F6*0.93*(1.18*(1-data!M6/(2/(3)^0.5)^0.5/data!L6))^(1/3)</f>
        <v>#DIV/0!</v>
      </c>
      <c r="D5" s="56">
        <f>'data 2'!L3</f>
        <v>0</v>
      </c>
      <c r="E5" s="3">
        <f>'data 2'!M3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MIN(D5,D5*('data 2'!K3-'data 2'!L43)/'data 2'!L43)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"/>
  <sheetViews>
    <sheetView workbookViewId="0">
      <selection activeCell="D3" sqref="D3"/>
    </sheetView>
  </sheetViews>
  <sheetFormatPr baseColWidth="10" defaultRowHeight="15.75" x14ac:dyDescent="0.25"/>
  <cols>
    <col min="9" max="9" width="14.625" bestFit="1" customWidth="1"/>
  </cols>
  <sheetData>
    <row r="2" spans="2:11" ht="16.5" x14ac:dyDescent="0.3">
      <c r="B2" s="1" t="s">
        <v>47</v>
      </c>
      <c r="C2" s="1" t="s">
        <v>36</v>
      </c>
      <c r="D2" s="1" t="s">
        <v>1</v>
      </c>
      <c r="E2" s="1" t="s">
        <v>3</v>
      </c>
      <c r="F2" s="1" t="s">
        <v>2</v>
      </c>
      <c r="G2" s="9"/>
      <c r="H2" s="9"/>
      <c r="I2" s="9"/>
      <c r="K2" s="54" t="s">
        <v>41</v>
      </c>
    </row>
    <row r="3" spans="2:11" x14ac:dyDescent="0.25">
      <c r="B3" s="3" t="e">
        <f>('data 2'!C28+'data 2'!C29+'data 2'!C30+'data 2'!C31/2)*2</f>
        <v>#DIV/0!</v>
      </c>
      <c r="C3" s="3" t="e">
        <f>flange!B5</f>
        <v>#DIV/0!</v>
      </c>
      <c r="D3" s="3" t="e">
        <f>flange!C5</f>
        <v>#DIV/0!</v>
      </c>
      <c r="E3" s="3">
        <f>'data 2'!M3</f>
        <v>0</v>
      </c>
      <c r="F3" s="56">
        <f>data!J6</f>
        <v>0</v>
      </c>
      <c r="G3" s="9"/>
      <c r="H3" s="9"/>
      <c r="I3" s="9"/>
      <c r="K3" s="57" t="e">
        <f>F3*((data!I6-stiffner!G15-'data 2'!L43)/'data 2'!L43)</f>
        <v>#DIV/0!</v>
      </c>
    </row>
    <row r="4" spans="2:11" x14ac:dyDescent="0.25">
      <c r="B4" s="9"/>
      <c r="C4" s="9"/>
      <c r="D4" s="9"/>
      <c r="E4" s="9"/>
      <c r="F4" s="9"/>
      <c r="G4" s="9"/>
      <c r="H4" s="9"/>
      <c r="I4" s="9"/>
    </row>
    <row r="5" spans="2:11" ht="18.75" x14ac:dyDescent="0.3">
      <c r="B5" s="26" t="s">
        <v>48</v>
      </c>
      <c r="C5" s="26" t="s">
        <v>49</v>
      </c>
      <c r="D5" s="26" t="s">
        <v>29</v>
      </c>
      <c r="E5" s="26" t="s">
        <v>30</v>
      </c>
      <c r="F5" s="26" t="s">
        <v>31</v>
      </c>
      <c r="G5" s="26" t="s">
        <v>32</v>
      </c>
      <c r="H5" s="26" t="s">
        <v>33</v>
      </c>
      <c r="I5" s="26" t="s">
        <v>34</v>
      </c>
    </row>
    <row r="6" spans="2:11" x14ac:dyDescent="0.25">
      <c r="B6" s="26" t="s">
        <v>50</v>
      </c>
      <c r="C6" s="35" t="e">
        <f>15*D$3-'data 2'!C17</f>
        <v>#DIV/0!</v>
      </c>
      <c r="D6" s="35" t="e">
        <f>C6*$D$3</f>
        <v>#DIV/0!</v>
      </c>
      <c r="E6" s="35">
        <v>0</v>
      </c>
      <c r="F6" s="35" t="e">
        <f>D6*E6</f>
        <v>#DIV/0!</v>
      </c>
      <c r="G6" s="59" t="e">
        <f>$G$15-E6</f>
        <v>#DIV/0!</v>
      </c>
      <c r="H6" s="59" t="e">
        <f>D3</f>
        <v>#DIV/0!</v>
      </c>
      <c r="I6" s="78" t="e">
        <f>D6*H6^2/12+D6*G6^2</f>
        <v>#DIV/0!</v>
      </c>
    </row>
    <row r="7" spans="2:11" x14ac:dyDescent="0.25">
      <c r="B7" s="72">
        <v>2</v>
      </c>
      <c r="C7" s="73" t="e">
        <f>'data 2'!C31</f>
        <v>#DIV/0!</v>
      </c>
      <c r="D7" s="73" t="e">
        <f t="shared" ref="D7:D14" si="0">C7*$D$3</f>
        <v>#DIV/0!</v>
      </c>
      <c r="E7" s="73" t="e">
        <f>'data 2'!C25</f>
        <v>#DIV/0!</v>
      </c>
      <c r="F7" s="73" t="e">
        <f t="shared" ref="F7:F14" si="1">D7*E7</f>
        <v>#DIV/0!</v>
      </c>
      <c r="G7" s="74" t="e">
        <f t="shared" ref="G7:G14" si="2">$G$15-E7</f>
        <v>#DIV/0!</v>
      </c>
      <c r="H7" s="74"/>
      <c r="I7" s="79" t="e">
        <f>$D$3*'data 2'!E$3^3*(('data 2'!B$3+SIN('data 2'!B$3)*COS('data 2'!B$3))/2-SIN('data 2'!B$3)^2/'data 2'!B$3)+D7*G7^2</f>
        <v>#DIV/0!</v>
      </c>
    </row>
    <row r="8" spans="2:11" x14ac:dyDescent="0.25">
      <c r="B8" s="27">
        <v>3</v>
      </c>
      <c r="C8" s="76" t="e">
        <f>'data 2'!C30</f>
        <v>#DIV/0!</v>
      </c>
      <c r="D8" s="76" t="e">
        <f t="shared" si="0"/>
        <v>#DIV/0!</v>
      </c>
      <c r="E8" s="61">
        <f>'data 2'!D7/2</f>
        <v>0</v>
      </c>
      <c r="F8" s="76" t="e">
        <f t="shared" si="1"/>
        <v>#DIV/0!</v>
      </c>
      <c r="G8" s="77" t="e">
        <f t="shared" si="2"/>
        <v>#DIV/0!</v>
      </c>
      <c r="H8" s="77" t="e">
        <f>'data 2'!M30</f>
        <v>#DIV/0!</v>
      </c>
      <c r="I8" s="80" t="e">
        <f>D8*H8^2/12+D8*G8^2</f>
        <v>#DIV/0!</v>
      </c>
    </row>
    <row r="9" spans="2:11" x14ac:dyDescent="0.25">
      <c r="B9" s="72">
        <v>4</v>
      </c>
      <c r="C9" s="73" t="e">
        <f>'data 2'!C29</f>
        <v>#DIV/0!</v>
      </c>
      <c r="D9" s="73" t="e">
        <f t="shared" si="0"/>
        <v>#DIV/0!</v>
      </c>
      <c r="E9" s="75" t="e">
        <f>data!D10-'data 2'!C25</f>
        <v>#DIV/0!</v>
      </c>
      <c r="F9" s="73" t="e">
        <f t="shared" si="1"/>
        <v>#DIV/0!</v>
      </c>
      <c r="G9" s="74" t="e">
        <f t="shared" si="2"/>
        <v>#DIV/0!</v>
      </c>
      <c r="H9" s="74"/>
      <c r="I9" s="79" t="e">
        <f>$D$3*'data 2'!E$3^3*(('data 2'!B$3+SIN('data 2'!B$3)*COS('data 2'!B$3))/2-SIN('data 2'!B$3)^2/'data 2'!B$3)+D9*G9^2</f>
        <v>#DIV/0!</v>
      </c>
    </row>
    <row r="10" spans="2:11" x14ac:dyDescent="0.25">
      <c r="B10" s="26">
        <v>5</v>
      </c>
      <c r="C10" s="35" t="e">
        <f>'data 2'!C28*2</f>
        <v>#DIV/0!</v>
      </c>
      <c r="D10" s="35" t="e">
        <f t="shared" si="0"/>
        <v>#DIV/0!</v>
      </c>
      <c r="E10" s="61">
        <f>'data 2'!D7</f>
        <v>0</v>
      </c>
      <c r="F10" s="35" t="e">
        <f t="shared" si="1"/>
        <v>#DIV/0!</v>
      </c>
      <c r="G10" s="59" t="e">
        <f t="shared" si="2"/>
        <v>#DIV/0!</v>
      </c>
      <c r="H10" s="59" t="e">
        <f>D3</f>
        <v>#DIV/0!</v>
      </c>
      <c r="I10" s="78" t="e">
        <f>D10*H10^2/12+D10*G10^2</f>
        <v>#DIV/0!</v>
      </c>
    </row>
    <row r="11" spans="2:11" x14ac:dyDescent="0.25">
      <c r="B11" s="72">
        <v>6</v>
      </c>
      <c r="C11" s="73" t="e">
        <f>'data 2'!C29</f>
        <v>#DIV/0!</v>
      </c>
      <c r="D11" s="73" t="e">
        <f t="shared" si="0"/>
        <v>#DIV/0!</v>
      </c>
      <c r="E11" s="75" t="e">
        <f>E9</f>
        <v>#DIV/0!</v>
      </c>
      <c r="F11" s="73" t="e">
        <f t="shared" si="1"/>
        <v>#DIV/0!</v>
      </c>
      <c r="G11" s="74" t="e">
        <f t="shared" si="2"/>
        <v>#DIV/0!</v>
      </c>
      <c r="H11" s="74"/>
      <c r="I11" s="79" t="e">
        <f>I9</f>
        <v>#DIV/0!</v>
      </c>
    </row>
    <row r="12" spans="2:11" x14ac:dyDescent="0.25">
      <c r="B12" s="26">
        <v>7</v>
      </c>
      <c r="C12" s="76" t="e">
        <f>'data 2'!C30</f>
        <v>#DIV/0!</v>
      </c>
      <c r="D12" s="35" t="e">
        <f t="shared" si="0"/>
        <v>#DIV/0!</v>
      </c>
      <c r="E12" s="62">
        <f>E8</f>
        <v>0</v>
      </c>
      <c r="F12" s="35" t="e">
        <f t="shared" si="1"/>
        <v>#DIV/0!</v>
      </c>
      <c r="G12" s="59" t="e">
        <f t="shared" si="2"/>
        <v>#DIV/0!</v>
      </c>
      <c r="H12" s="59" t="e">
        <f>H8</f>
        <v>#DIV/0!</v>
      </c>
      <c r="I12" s="78" t="e">
        <f>D12*H12^2/12+D12*G12^2</f>
        <v>#DIV/0!</v>
      </c>
    </row>
    <row r="13" spans="2:11" x14ac:dyDescent="0.25">
      <c r="B13" s="72">
        <v>8</v>
      </c>
      <c r="C13" s="73" t="e">
        <f>'data 2'!C31</f>
        <v>#DIV/0!</v>
      </c>
      <c r="D13" s="73" t="e">
        <f t="shared" si="0"/>
        <v>#DIV/0!</v>
      </c>
      <c r="E13" s="75" t="e">
        <f>E7</f>
        <v>#DIV/0!</v>
      </c>
      <c r="F13" s="73" t="e">
        <f t="shared" si="1"/>
        <v>#DIV/0!</v>
      </c>
      <c r="G13" s="74" t="e">
        <f t="shared" si="2"/>
        <v>#DIV/0!</v>
      </c>
      <c r="H13" s="74"/>
      <c r="I13" s="79" t="e">
        <f>$D$3*'data 2'!E$3^3*(('data 2'!B$3+SIN('data 2'!B$3)*COS('data 2'!B$3))/2-SIN('data 2'!B$3)^2/'data 2'!B$3)+D13*G13^2</f>
        <v>#DIV/0!</v>
      </c>
    </row>
    <row r="14" spans="2:11" x14ac:dyDescent="0.25">
      <c r="B14" s="26" t="s">
        <v>51</v>
      </c>
      <c r="C14" s="35" t="e">
        <f>C6</f>
        <v>#DIV/0!</v>
      </c>
      <c r="D14" s="35" t="e">
        <f t="shared" si="0"/>
        <v>#DIV/0!</v>
      </c>
      <c r="E14" s="35">
        <f>E6</f>
        <v>0</v>
      </c>
      <c r="F14" s="35" t="e">
        <f t="shared" si="1"/>
        <v>#DIV/0!</v>
      </c>
      <c r="G14" s="59" t="e">
        <f t="shared" si="2"/>
        <v>#DIV/0!</v>
      </c>
      <c r="H14" s="59" t="e">
        <f>H6</f>
        <v>#DIV/0!</v>
      </c>
      <c r="I14" s="78" t="e">
        <f>D14*H14^2/12+D14*G14^2</f>
        <v>#DIV/0!</v>
      </c>
    </row>
    <row r="15" spans="2:11" x14ac:dyDescent="0.25">
      <c r="B15" s="63" t="s">
        <v>52</v>
      </c>
      <c r="C15" s="62"/>
      <c r="D15" s="64" t="e">
        <f>SUM(D6:D14)</f>
        <v>#DIV/0!</v>
      </c>
      <c r="E15" s="65"/>
      <c r="F15" s="35" t="e">
        <f>SUM(F6:F14)</f>
        <v>#DIV/0!</v>
      </c>
      <c r="G15" s="65" t="e">
        <f>F15/D15</f>
        <v>#DIV/0!</v>
      </c>
      <c r="H15" s="65"/>
      <c r="I15" s="78" t="e">
        <f>SUM(I6:I14)</f>
        <v>#DIV/0!</v>
      </c>
    </row>
    <row r="16" spans="2:11" x14ac:dyDescent="0.25">
      <c r="B16" s="66"/>
      <c r="C16" s="66"/>
      <c r="D16" s="66"/>
      <c r="E16" s="66"/>
      <c r="F16" s="66"/>
      <c r="G16" s="66"/>
      <c r="H16" s="67"/>
      <c r="I16" s="67"/>
    </row>
    <row r="17" spans="2:9" ht="16.5" x14ac:dyDescent="0.3">
      <c r="B17" s="26" t="s">
        <v>48</v>
      </c>
      <c r="C17" s="26" t="s">
        <v>49</v>
      </c>
      <c r="D17" s="26" t="s">
        <v>29</v>
      </c>
      <c r="E17" s="26"/>
      <c r="F17" s="26"/>
      <c r="G17" s="26"/>
      <c r="H17" s="26"/>
      <c r="I17" s="26"/>
    </row>
    <row r="18" spans="2:9" x14ac:dyDescent="0.25">
      <c r="B18" s="26" t="s">
        <v>50</v>
      </c>
      <c r="C18" s="35" t="e">
        <f>flange!O5-'data 2'!C17</f>
        <v>#DIV/0!</v>
      </c>
      <c r="D18" s="35" t="e">
        <f>C18*$D$3</f>
        <v>#DIV/0!</v>
      </c>
      <c r="E18" s="35"/>
      <c r="F18" s="35"/>
      <c r="G18" s="59"/>
      <c r="H18" s="59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59"/>
      <c r="H19" s="59"/>
      <c r="I19" s="60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1"/>
      <c r="F20" s="35"/>
      <c r="G20" s="59"/>
      <c r="H20" s="59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2"/>
      <c r="F21" s="35"/>
      <c r="G21" s="59"/>
      <c r="H21" s="59"/>
      <c r="I21" s="60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1"/>
      <c r="F22" s="35"/>
      <c r="G22" s="59"/>
      <c r="H22" s="59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2"/>
      <c r="F23" s="35"/>
      <c r="G23" s="59"/>
      <c r="H23" s="59"/>
      <c r="I23" s="60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2"/>
      <c r="F24" s="35"/>
      <c r="G24" s="59"/>
      <c r="H24" s="59"/>
      <c r="I24" s="60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2"/>
      <c r="F25" s="35"/>
      <c r="G25" s="59"/>
      <c r="H25" s="59"/>
      <c r="I25" s="60"/>
    </row>
    <row r="26" spans="2:9" x14ac:dyDescent="0.25">
      <c r="B26" s="26" t="s">
        <v>51</v>
      </c>
      <c r="C26" s="35" t="e">
        <f>C18</f>
        <v>#DIV/0!</v>
      </c>
      <c r="D26" s="35" t="e">
        <f t="shared" si="3"/>
        <v>#DIV/0!</v>
      </c>
      <c r="E26" s="35"/>
      <c r="F26" s="35"/>
      <c r="G26" s="59"/>
      <c r="H26" s="59"/>
      <c r="I26" s="68"/>
    </row>
    <row r="27" spans="2:9" x14ac:dyDescent="0.25">
      <c r="B27" s="63" t="s">
        <v>52</v>
      </c>
      <c r="C27" s="62"/>
      <c r="D27" s="64" t="e">
        <f>SUM(D18:D26)</f>
        <v>#DIV/0!</v>
      </c>
      <c r="E27" s="65"/>
      <c r="F27" s="35"/>
      <c r="G27" s="65"/>
      <c r="H27" s="65"/>
      <c r="I27" s="3"/>
    </row>
    <row r="28" spans="2:9" x14ac:dyDescent="0.25">
      <c r="B28" s="66"/>
      <c r="C28" s="66"/>
      <c r="D28" s="66"/>
      <c r="E28" s="66"/>
      <c r="F28" s="66"/>
      <c r="G28" s="66"/>
      <c r="H28" s="67"/>
      <c r="I28" s="67"/>
    </row>
    <row r="29" spans="2:9" x14ac:dyDescent="0.25">
      <c r="B29" s="66"/>
      <c r="C29" s="66"/>
      <c r="D29" s="66"/>
      <c r="E29" s="66"/>
      <c r="F29" s="66"/>
      <c r="G29" s="66"/>
      <c r="H29" s="67"/>
      <c r="I29" s="67"/>
    </row>
    <row r="30" spans="2:9" ht="16.5" x14ac:dyDescent="0.3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69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60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2</v>
      </c>
      <c r="C36" s="1" t="s">
        <v>61</v>
      </c>
      <c r="D36" s="1" t="s">
        <v>62</v>
      </c>
      <c r="E36" s="1" t="s">
        <v>63</v>
      </c>
    </row>
    <row r="37" spans="2:9" x14ac:dyDescent="0.25">
      <c r="B37" s="60">
        <f>'data 2'!L3</f>
        <v>0</v>
      </c>
      <c r="C37" s="57" t="e">
        <f>(B37/B34)^0.5</f>
        <v>#DIV/0!</v>
      </c>
      <c r="D37" s="82" t="e">
        <f>IF(C37&lt;0.65,1,(1.47-0.723*C37))</f>
        <v>#DIV/0!</v>
      </c>
      <c r="E37" s="82" t="e">
        <f>IF(C37&gt;1.38,0.66/C37,D37)</f>
        <v>#DIV/0!</v>
      </c>
    </row>
    <row r="39" spans="2:9" ht="16.5" x14ac:dyDescent="0.3">
      <c r="B39" s="3" t="s">
        <v>64</v>
      </c>
      <c r="C39" s="26" t="s">
        <v>65</v>
      </c>
      <c r="E39" t="s">
        <v>66</v>
      </c>
    </row>
    <row r="40" spans="2:9" x14ac:dyDescent="0.25">
      <c r="B40" s="70" t="e">
        <f>E37</f>
        <v>#DIV/0!</v>
      </c>
      <c r="C40" s="35" t="e">
        <f>B40*D3</f>
        <v>#DIV/0!</v>
      </c>
      <c r="E40" s="28" t="e">
        <f>B37/flange!K5/flange!J5</f>
        <v>#DIV/0!</v>
      </c>
      <c r="G40" s="71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C5" sqref="C5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 t="s">
        <v>67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2" t="s">
        <v>38</v>
      </c>
      <c r="H4" s="53" t="s">
        <v>39</v>
      </c>
      <c r="I4" s="1" t="s">
        <v>40</v>
      </c>
      <c r="J4" s="54" t="s">
        <v>41</v>
      </c>
      <c r="K4" s="55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flange!B5</f>
        <v>#DIV/0!</v>
      </c>
      <c r="C5" s="3" t="e">
        <f>flange!C5</f>
        <v>#DIV/0!</v>
      </c>
      <c r="D5" s="3">
        <f>flange!D5</f>
        <v>0</v>
      </c>
      <c r="E5" s="3">
        <f>flange!E5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88" t="e">
        <f>MIN(D5*stiffner!B40,flange!J5)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"/>
  <sheetViews>
    <sheetView workbookViewId="0">
      <selection activeCell="D3" sqref="D3"/>
    </sheetView>
  </sheetViews>
  <sheetFormatPr baseColWidth="10" defaultRowHeight="15.75" x14ac:dyDescent="0.25"/>
  <cols>
    <col min="9" max="9" width="14.625" bestFit="1" customWidth="1"/>
  </cols>
  <sheetData>
    <row r="2" spans="2:11" ht="16.5" x14ac:dyDescent="0.3">
      <c r="B2" s="1" t="s">
        <v>47</v>
      </c>
      <c r="C2" s="1" t="s">
        <v>36</v>
      </c>
      <c r="D2" s="1" t="s">
        <v>1</v>
      </c>
      <c r="E2" s="1" t="s">
        <v>3</v>
      </c>
      <c r="F2" s="1" t="s">
        <v>2</v>
      </c>
      <c r="G2" s="9"/>
      <c r="H2" s="9"/>
      <c r="I2" s="9"/>
      <c r="K2" s="54" t="s">
        <v>41</v>
      </c>
    </row>
    <row r="3" spans="2:11" x14ac:dyDescent="0.25">
      <c r="B3" s="3" t="e">
        <f>stiffner!B3</f>
        <v>#DIV/0!</v>
      </c>
      <c r="C3" s="3" t="e">
        <f>stiffner!C3</f>
        <v>#DIV/0!</v>
      </c>
      <c r="D3" s="3" t="e">
        <f>stiffner!D3</f>
        <v>#DIV/0!</v>
      </c>
      <c r="E3" s="3">
        <f>stiffner!E3</f>
        <v>0</v>
      </c>
      <c r="F3" s="56">
        <f>data!J6</f>
        <v>0</v>
      </c>
      <c r="G3" s="9"/>
      <c r="H3" s="9"/>
      <c r="I3" s="9"/>
      <c r="K3" s="57" t="e">
        <f>F3*((data!I6-stiffner!G15-'data 2'!L43)/'data 2'!L43)</f>
        <v>#DIV/0!</v>
      </c>
    </row>
    <row r="4" spans="2:11" x14ac:dyDescent="0.25">
      <c r="B4" s="9"/>
      <c r="C4" s="9"/>
      <c r="D4" s="9"/>
      <c r="E4" s="9"/>
      <c r="F4" s="9"/>
      <c r="G4" s="9"/>
      <c r="H4" s="9"/>
      <c r="I4" s="9"/>
    </row>
    <row r="5" spans="2:11" ht="18.75" x14ac:dyDescent="0.3">
      <c r="B5" s="26" t="s">
        <v>48</v>
      </c>
      <c r="C5" s="26" t="s">
        <v>49</v>
      </c>
      <c r="D5" s="26" t="s">
        <v>29</v>
      </c>
      <c r="E5" s="26" t="s">
        <v>30</v>
      </c>
      <c r="F5" s="26" t="s">
        <v>31</v>
      </c>
      <c r="G5" s="26" t="s">
        <v>32</v>
      </c>
      <c r="H5" s="26" t="s">
        <v>33</v>
      </c>
      <c r="I5" s="26" t="s">
        <v>34</v>
      </c>
    </row>
    <row r="6" spans="2:11" x14ac:dyDescent="0.25">
      <c r="B6" s="26" t="s">
        <v>50</v>
      </c>
      <c r="C6" s="38" t="e">
        <f>stiffner!C6</f>
        <v>#DIV/0!</v>
      </c>
      <c r="D6" s="35" t="e">
        <f>C6*$D$3</f>
        <v>#DIV/0!</v>
      </c>
      <c r="E6" s="38">
        <f>stiffner!E6</f>
        <v>0</v>
      </c>
      <c r="F6" s="35" t="e">
        <f>D6*E6</f>
        <v>#DIV/0!</v>
      </c>
      <c r="G6" s="59" t="e">
        <f>$G$15-E6</f>
        <v>#DIV/0!</v>
      </c>
      <c r="H6" s="38" t="e">
        <f>stiffner!H6</f>
        <v>#DIV/0!</v>
      </c>
      <c r="I6" s="38" t="e">
        <f>stiffner!I6</f>
        <v>#DIV/0!</v>
      </c>
    </row>
    <row r="7" spans="2:11" x14ac:dyDescent="0.25">
      <c r="B7" s="72">
        <v>2</v>
      </c>
      <c r="C7" s="83" t="e">
        <f>stiffner!C7</f>
        <v>#DIV/0!</v>
      </c>
      <c r="D7" s="73" t="e">
        <f t="shared" ref="D7:D14" si="0">C7*$D$3</f>
        <v>#DIV/0!</v>
      </c>
      <c r="E7" s="83" t="e">
        <f>stiffner!E7</f>
        <v>#DIV/0!</v>
      </c>
      <c r="F7" s="73" t="e">
        <f t="shared" ref="F7:F14" si="1">D7*E7</f>
        <v>#DIV/0!</v>
      </c>
      <c r="G7" s="74" t="e">
        <f t="shared" ref="G7:G14" si="2">$G$15-E7</f>
        <v>#DIV/0!</v>
      </c>
      <c r="H7" s="83">
        <f>stiffner!H7</f>
        <v>0</v>
      </c>
      <c r="I7" s="83" t="e">
        <f>stiffner!I7</f>
        <v>#DIV/0!</v>
      </c>
    </row>
    <row r="8" spans="2:11" x14ac:dyDescent="0.25">
      <c r="B8" s="27">
        <v>3</v>
      </c>
      <c r="C8" s="38" t="e">
        <f>stiffner!C8</f>
        <v>#DIV/0!</v>
      </c>
      <c r="D8" s="76" t="e">
        <f t="shared" si="0"/>
        <v>#DIV/0!</v>
      </c>
      <c r="E8" s="38">
        <f>stiffner!E8</f>
        <v>0</v>
      </c>
      <c r="F8" s="76" t="e">
        <f t="shared" si="1"/>
        <v>#DIV/0!</v>
      </c>
      <c r="G8" s="77" t="e">
        <f t="shared" si="2"/>
        <v>#DIV/0!</v>
      </c>
      <c r="H8" s="38" t="e">
        <f>stiffner!H8</f>
        <v>#DIV/0!</v>
      </c>
      <c r="I8" s="38" t="e">
        <f>stiffner!I8</f>
        <v>#DIV/0!</v>
      </c>
    </row>
    <row r="9" spans="2:11" x14ac:dyDescent="0.25">
      <c r="B9" s="72">
        <v>4</v>
      </c>
      <c r="C9" s="83" t="e">
        <f>stiffner!C9</f>
        <v>#DIV/0!</v>
      </c>
      <c r="D9" s="73" t="e">
        <f t="shared" si="0"/>
        <v>#DIV/0!</v>
      </c>
      <c r="E9" s="83" t="e">
        <f>stiffner!E9</f>
        <v>#DIV/0!</v>
      </c>
      <c r="F9" s="73" t="e">
        <f t="shared" si="1"/>
        <v>#DIV/0!</v>
      </c>
      <c r="G9" s="74" t="e">
        <f t="shared" si="2"/>
        <v>#DIV/0!</v>
      </c>
      <c r="H9" s="83">
        <f>stiffner!H9</f>
        <v>0</v>
      </c>
      <c r="I9" s="83" t="e">
        <f>stiffner!I9</f>
        <v>#DIV/0!</v>
      </c>
    </row>
    <row r="10" spans="2:11" x14ac:dyDescent="0.25">
      <c r="B10" s="26">
        <v>5</v>
      </c>
      <c r="C10" s="38" t="e">
        <f>stiffner!C10</f>
        <v>#DIV/0!</v>
      </c>
      <c r="D10" s="35" t="e">
        <f t="shared" si="0"/>
        <v>#DIV/0!</v>
      </c>
      <c r="E10" s="38">
        <f>stiffner!E10</f>
        <v>0</v>
      </c>
      <c r="F10" s="35" t="e">
        <f t="shared" si="1"/>
        <v>#DIV/0!</v>
      </c>
      <c r="G10" s="59" t="e">
        <f t="shared" si="2"/>
        <v>#DIV/0!</v>
      </c>
      <c r="H10" s="38" t="e">
        <f>stiffner!H10</f>
        <v>#DIV/0!</v>
      </c>
      <c r="I10" s="38" t="e">
        <f>stiffner!I10</f>
        <v>#DIV/0!</v>
      </c>
    </row>
    <row r="11" spans="2:11" x14ac:dyDescent="0.25">
      <c r="B11" s="72">
        <v>6</v>
      </c>
      <c r="C11" s="83" t="e">
        <f>stiffner!C11</f>
        <v>#DIV/0!</v>
      </c>
      <c r="D11" s="73" t="e">
        <f t="shared" si="0"/>
        <v>#DIV/0!</v>
      </c>
      <c r="E11" s="83" t="e">
        <f>stiffner!E11</f>
        <v>#DIV/0!</v>
      </c>
      <c r="F11" s="73" t="e">
        <f t="shared" si="1"/>
        <v>#DIV/0!</v>
      </c>
      <c r="G11" s="74" t="e">
        <f t="shared" si="2"/>
        <v>#DIV/0!</v>
      </c>
      <c r="H11" s="83">
        <f>stiffner!H11</f>
        <v>0</v>
      </c>
      <c r="I11" s="83" t="e">
        <f>stiffner!I11</f>
        <v>#DIV/0!</v>
      </c>
    </row>
    <row r="12" spans="2:11" x14ac:dyDescent="0.25">
      <c r="B12" s="26">
        <v>7</v>
      </c>
      <c r="C12" s="38" t="e">
        <f>stiffner!C12</f>
        <v>#DIV/0!</v>
      </c>
      <c r="D12" s="35" t="e">
        <f t="shared" si="0"/>
        <v>#DIV/0!</v>
      </c>
      <c r="E12" s="38">
        <f>stiffner!E12</f>
        <v>0</v>
      </c>
      <c r="F12" s="35" t="e">
        <f t="shared" si="1"/>
        <v>#DIV/0!</v>
      </c>
      <c r="G12" s="59" t="e">
        <f t="shared" si="2"/>
        <v>#DIV/0!</v>
      </c>
      <c r="H12" s="38" t="e">
        <f>stiffner!H12</f>
        <v>#DIV/0!</v>
      </c>
      <c r="I12" s="38" t="e">
        <f>stiffner!I12</f>
        <v>#DIV/0!</v>
      </c>
    </row>
    <row r="13" spans="2:11" x14ac:dyDescent="0.25">
      <c r="B13" s="72">
        <v>8</v>
      </c>
      <c r="C13" s="83" t="e">
        <f>stiffner!C13</f>
        <v>#DIV/0!</v>
      </c>
      <c r="D13" s="73" t="e">
        <f t="shared" si="0"/>
        <v>#DIV/0!</v>
      </c>
      <c r="E13" s="83" t="e">
        <f>stiffner!E13</f>
        <v>#DIV/0!</v>
      </c>
      <c r="F13" s="73" t="e">
        <f t="shared" si="1"/>
        <v>#DIV/0!</v>
      </c>
      <c r="G13" s="74" t="e">
        <f t="shared" si="2"/>
        <v>#DIV/0!</v>
      </c>
      <c r="H13" s="83">
        <f>stiffner!H13</f>
        <v>0</v>
      </c>
      <c r="I13" s="83" t="e">
        <f>stiffner!I13</f>
        <v>#DIV/0!</v>
      </c>
    </row>
    <row r="14" spans="2:11" x14ac:dyDescent="0.25">
      <c r="B14" s="26" t="s">
        <v>51</v>
      </c>
      <c r="C14" s="38" t="e">
        <f>stiffner!C14</f>
        <v>#DIV/0!</v>
      </c>
      <c r="D14" s="35" t="e">
        <f t="shared" si="0"/>
        <v>#DIV/0!</v>
      </c>
      <c r="E14" s="38">
        <f>stiffner!E14</f>
        <v>0</v>
      </c>
      <c r="F14" s="35" t="e">
        <f t="shared" si="1"/>
        <v>#DIV/0!</v>
      </c>
      <c r="G14" s="59" t="e">
        <f t="shared" si="2"/>
        <v>#DIV/0!</v>
      </c>
      <c r="H14" s="38" t="e">
        <f>stiffner!H14</f>
        <v>#DIV/0!</v>
      </c>
      <c r="I14" s="38" t="e">
        <f>stiffner!I14</f>
        <v>#DIV/0!</v>
      </c>
    </row>
    <row r="15" spans="2:11" x14ac:dyDescent="0.25">
      <c r="B15" s="63" t="s">
        <v>52</v>
      </c>
      <c r="C15" s="62"/>
      <c r="D15" s="64" t="e">
        <f>SUM(D6:D14)</f>
        <v>#DIV/0!</v>
      </c>
      <c r="E15" s="65"/>
      <c r="F15" s="35" t="e">
        <f>SUM(F6:F14)</f>
        <v>#DIV/0!</v>
      </c>
      <c r="G15" s="65" t="e">
        <f>F15/D15</f>
        <v>#DIV/0!</v>
      </c>
      <c r="H15" s="65"/>
      <c r="I15" s="78" t="e">
        <f>SUM(I6:I14)</f>
        <v>#DIV/0!</v>
      </c>
    </row>
    <row r="16" spans="2:11" x14ac:dyDescent="0.25">
      <c r="B16" s="66"/>
      <c r="C16" s="66"/>
      <c r="D16" s="66"/>
      <c r="E16" s="66"/>
      <c r="F16" s="66"/>
      <c r="G16" s="66"/>
      <c r="H16" s="67"/>
      <c r="I16" s="67"/>
    </row>
    <row r="17" spans="2:9" ht="16.5" x14ac:dyDescent="0.3">
      <c r="B17" s="26" t="s">
        <v>48</v>
      </c>
      <c r="C17" s="26" t="s">
        <v>49</v>
      </c>
      <c r="D17" s="26" t="s">
        <v>29</v>
      </c>
      <c r="E17" s="26"/>
      <c r="F17" s="26"/>
      <c r="G17" s="26"/>
      <c r="H17" s="26"/>
      <c r="I17" s="26"/>
    </row>
    <row r="18" spans="2:9" x14ac:dyDescent="0.25">
      <c r="B18" s="26" t="s">
        <v>50</v>
      </c>
      <c r="C18" s="35" t="e">
        <f>flangebis!O5-'data 2'!C17</f>
        <v>#DIV/0!</v>
      </c>
      <c r="D18" s="35" t="e">
        <f>C18*$D$3</f>
        <v>#DIV/0!</v>
      </c>
      <c r="E18" s="35"/>
      <c r="F18" s="35"/>
      <c r="G18" s="59"/>
      <c r="H18" s="59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59"/>
      <c r="H19" s="59"/>
      <c r="I19" s="60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1"/>
      <c r="F20" s="35"/>
      <c r="G20" s="59"/>
      <c r="H20" s="59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2"/>
      <c r="F21" s="35"/>
      <c r="G21" s="59"/>
      <c r="H21" s="59"/>
      <c r="I21" s="60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1"/>
      <c r="F22" s="35"/>
      <c r="G22" s="59"/>
      <c r="H22" s="59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2"/>
      <c r="F23" s="35"/>
      <c r="G23" s="59"/>
      <c r="H23" s="59"/>
      <c r="I23" s="60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2"/>
      <c r="F24" s="35"/>
      <c r="G24" s="59"/>
      <c r="H24" s="59"/>
      <c r="I24" s="60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2"/>
      <c r="F25" s="35"/>
      <c r="G25" s="59"/>
      <c r="H25" s="59"/>
      <c r="I25" s="60"/>
    </row>
    <row r="26" spans="2:9" x14ac:dyDescent="0.25">
      <c r="B26" s="26" t="s">
        <v>51</v>
      </c>
      <c r="C26" s="35" t="e">
        <f>C18</f>
        <v>#DIV/0!</v>
      </c>
      <c r="D26" s="35" t="e">
        <f t="shared" si="3"/>
        <v>#DIV/0!</v>
      </c>
      <c r="E26" s="35"/>
      <c r="F26" s="35"/>
      <c r="G26" s="59"/>
      <c r="H26" s="59"/>
      <c r="I26" s="68"/>
    </row>
    <row r="27" spans="2:9" x14ac:dyDescent="0.25">
      <c r="B27" s="63" t="s">
        <v>52</v>
      </c>
      <c r="C27" s="62"/>
      <c r="D27" s="64" t="e">
        <f>SUM(D18:D26)</f>
        <v>#DIV/0!</v>
      </c>
      <c r="E27" s="65"/>
      <c r="F27" s="35"/>
      <c r="G27" s="65"/>
      <c r="H27" s="65"/>
      <c r="I27" s="3"/>
    </row>
    <row r="28" spans="2:9" x14ac:dyDescent="0.25">
      <c r="B28" s="66"/>
      <c r="C28" s="66"/>
      <c r="D28" s="66"/>
      <c r="E28" s="66"/>
      <c r="F28" s="66"/>
      <c r="G28" s="66"/>
      <c r="H28" s="67"/>
      <c r="I28" s="67"/>
    </row>
    <row r="29" spans="2:9" x14ac:dyDescent="0.25">
      <c r="B29" s="66"/>
      <c r="C29" s="66"/>
      <c r="D29" s="66"/>
      <c r="E29" s="66"/>
      <c r="F29" s="66"/>
      <c r="G29" s="66"/>
      <c r="H29" s="67"/>
      <c r="I29" s="67"/>
    </row>
    <row r="30" spans="2:9" ht="16.5" x14ac:dyDescent="0.3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69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60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2</v>
      </c>
      <c r="C36" s="1" t="s">
        <v>61</v>
      </c>
      <c r="D36" s="1" t="s">
        <v>62</v>
      </c>
      <c r="E36" s="1" t="s">
        <v>63</v>
      </c>
    </row>
    <row r="37" spans="2:9" x14ac:dyDescent="0.25">
      <c r="B37" s="60">
        <f>'data 2'!L3</f>
        <v>0</v>
      </c>
      <c r="C37" s="57" t="e">
        <f>(B37/B34)^0.5</f>
        <v>#DIV/0!</v>
      </c>
      <c r="D37" s="82" t="e">
        <f>IF(C37&lt;0.65,1,(1.47-0.723*C37))</f>
        <v>#DIV/0!</v>
      </c>
      <c r="E37" s="82" t="e">
        <f>IF(C37&gt;1.38,0.66/C37,D37)</f>
        <v>#DIV/0!</v>
      </c>
    </row>
    <row r="39" spans="2:9" ht="16.5" x14ac:dyDescent="0.3">
      <c r="B39" s="3" t="s">
        <v>64</v>
      </c>
      <c r="C39" s="26" t="s">
        <v>65</v>
      </c>
      <c r="E39" s="117" t="s">
        <v>66</v>
      </c>
    </row>
    <row r="40" spans="2:9" x14ac:dyDescent="0.25">
      <c r="B40" s="70" t="e">
        <f>E37</f>
        <v>#DIV/0!</v>
      </c>
      <c r="C40" s="35" t="e">
        <f>B40*D3</f>
        <v>#DIV/0!</v>
      </c>
      <c r="E40" s="118" t="e">
        <f>B37/flange!K5/flange!J5</f>
        <v>#DIV/0!</v>
      </c>
      <c r="G40" s="71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workbookViewId="0">
      <selection activeCell="H3" sqref="H3"/>
    </sheetView>
  </sheetViews>
  <sheetFormatPr baseColWidth="10" defaultRowHeight="15.75" x14ac:dyDescent="0.25"/>
  <sheetData>
    <row r="2" spans="2:8" ht="16.5" x14ac:dyDescent="0.3">
      <c r="B2" s="1" t="s">
        <v>1</v>
      </c>
      <c r="C2" s="1" t="s">
        <v>3</v>
      </c>
      <c r="D2" s="1" t="s">
        <v>2</v>
      </c>
      <c r="E2" s="55" t="s">
        <v>42</v>
      </c>
      <c r="F2" s="54" t="s">
        <v>41</v>
      </c>
      <c r="G2" s="1" t="s">
        <v>68</v>
      </c>
      <c r="H2" s="1" t="s">
        <v>69</v>
      </c>
    </row>
    <row r="3" spans="2:8" x14ac:dyDescent="0.25">
      <c r="B3" s="10">
        <f>data!F6</f>
        <v>0</v>
      </c>
      <c r="C3" s="10">
        <f>data!K6</f>
        <v>0</v>
      </c>
      <c r="D3" s="10">
        <f>data!J6</f>
        <v>0</v>
      </c>
      <c r="E3" s="9">
        <f>flange!K5</f>
        <v>1</v>
      </c>
      <c r="F3" s="9" t="e">
        <f>MIN(D3,D3*('data 2'!K3-'data 2'!L43)/'data 2'!L43)</f>
        <v>#DIV/0!</v>
      </c>
      <c r="G3" s="10" t="e">
        <f>'data 2'!K3-'data 2'!L43</f>
        <v>#DIV/0!</v>
      </c>
      <c r="H3" s="9" t="e">
        <f>G3/SIN('data 2'!C3)-'data 2'!F16</f>
        <v>#DIV/0!</v>
      </c>
    </row>
    <row r="4" spans="2:8" x14ac:dyDescent="0.25">
      <c r="G4" t="s">
        <v>114</v>
      </c>
    </row>
    <row r="5" spans="2:8" ht="16.5" x14ac:dyDescent="0.3">
      <c r="B5" s="1" t="s">
        <v>70</v>
      </c>
      <c r="C5" s="1" t="s">
        <v>71</v>
      </c>
      <c r="D5" s="1" t="s">
        <v>72</v>
      </c>
      <c r="E5" s="1" t="s">
        <v>73</v>
      </c>
      <c r="F5" s="9" t="s">
        <v>74</v>
      </c>
      <c r="G5" s="28">
        <f>data!D13+data!D14</f>
        <v>0</v>
      </c>
      <c r="H5" s="116" t="s">
        <v>115</v>
      </c>
    </row>
    <row r="6" spans="2:8" x14ac:dyDescent="0.25">
      <c r="B6" s="68" t="e">
        <f>0.95*B3*(C3/F3/E3)^0.5</f>
        <v>#DIV/0!</v>
      </c>
      <c r="C6" s="68" t="e">
        <f>B6</f>
        <v>#DIV/0!</v>
      </c>
      <c r="D6" s="3" t="e">
        <f>1.5*C6</f>
        <v>#DIV/0!</v>
      </c>
      <c r="E6" s="10" t="e">
        <f>C6+D6</f>
        <v>#DIV/0!</v>
      </c>
      <c r="F6" s="9"/>
    </row>
    <row r="10" spans="2:8" ht="18.75" x14ac:dyDescent="0.3">
      <c r="B10" s="1" t="s">
        <v>4</v>
      </c>
      <c r="C10" s="26" t="s">
        <v>49</v>
      </c>
      <c r="D10" s="26" t="s">
        <v>29</v>
      </c>
      <c r="E10" s="26" t="s">
        <v>30</v>
      </c>
      <c r="F10" s="26" t="s">
        <v>31</v>
      </c>
    </row>
    <row r="11" spans="2:8" x14ac:dyDescent="0.25">
      <c r="B11" s="1">
        <v>1</v>
      </c>
      <c r="C11" s="85" t="e">
        <f>'data 2'!C28</f>
        <v>#DIV/0!</v>
      </c>
    </row>
    <row r="12" spans="2:8" x14ac:dyDescent="0.25">
      <c r="B12" s="1">
        <v>2</v>
      </c>
      <c r="C12" s="85" t="e">
        <f>'data 2'!C29</f>
        <v>#DIV/0!</v>
      </c>
    </row>
    <row r="13" spans="2:8" x14ac:dyDescent="0.25">
      <c r="B13" s="1">
        <v>3</v>
      </c>
      <c r="C13" s="85" t="e">
        <f>'data 2'!C30</f>
        <v>#DIV/0!</v>
      </c>
    </row>
    <row r="14" spans="2:8" x14ac:dyDescent="0.25">
      <c r="B14" s="1">
        <v>4</v>
      </c>
      <c r="C14" s="85" t="e">
        <f>'data 2'!C31</f>
        <v>#DIV/0!</v>
      </c>
    </row>
    <row r="15" spans="2:8" x14ac:dyDescent="0.25">
      <c r="B15" s="1">
        <v>51</v>
      </c>
      <c r="C15" s="85" t="e">
        <f>flangebis!O5-'data 2'!C17</f>
        <v>#DIV/0!</v>
      </c>
    </row>
    <row r="16" spans="2:8" x14ac:dyDescent="0.25">
      <c r="B16" s="1">
        <v>52</v>
      </c>
      <c r="C16" s="85" t="e">
        <f>flange!O5-'data 2'!F17</f>
        <v>#DIV/0!</v>
      </c>
    </row>
    <row r="17" spans="1:12" x14ac:dyDescent="0.25">
      <c r="B17" s="1">
        <v>6</v>
      </c>
      <c r="C17" s="85" t="e">
        <f>'data 2'!C33</f>
        <v>#DIV/0!</v>
      </c>
    </row>
    <row r="18" spans="1:12" x14ac:dyDescent="0.25">
      <c r="B18" s="1">
        <v>7</v>
      </c>
      <c r="C18" s="85" t="e">
        <f>'data 2'!C34</f>
        <v>#DIV/0!</v>
      </c>
    </row>
    <row r="19" spans="1:12" x14ac:dyDescent="0.25">
      <c r="B19" s="84" t="s">
        <v>75</v>
      </c>
      <c r="C19" s="85" t="e">
        <f>IF(-(H3-C6-D6)&gt;0,0,(-(H3-C6-D6)))</f>
        <v>#DIV/0!</v>
      </c>
    </row>
    <row r="20" spans="1:12" x14ac:dyDescent="0.25">
      <c r="B20" s="1">
        <v>8</v>
      </c>
      <c r="C20" s="85" t="e">
        <f>'data 2'!C35</f>
        <v>#DIV/0!</v>
      </c>
    </row>
    <row r="21" spans="1:12" x14ac:dyDescent="0.25">
      <c r="B21" s="1">
        <v>9</v>
      </c>
      <c r="C21" s="85" t="e">
        <f>'data 2'!C36</f>
        <v>#DIV/0!</v>
      </c>
    </row>
    <row r="22" spans="1:12" x14ac:dyDescent="0.25">
      <c r="B22" s="1">
        <v>10</v>
      </c>
      <c r="C22" s="85" t="e">
        <f>'data 2'!C37</f>
        <v>#DIV/0!</v>
      </c>
    </row>
    <row r="23" spans="1:12" x14ac:dyDescent="0.25">
      <c r="B23" s="1">
        <v>11</v>
      </c>
      <c r="C23" s="85" t="e">
        <f>'data 2'!C38</f>
        <v>#DIV/0!</v>
      </c>
    </row>
    <row r="24" spans="1:12" x14ac:dyDescent="0.25">
      <c r="B24" s="1">
        <v>12</v>
      </c>
      <c r="C24" s="85" t="e">
        <f>'data 2'!C39</f>
        <v>#DIV/0!</v>
      </c>
    </row>
    <row r="25" spans="1:12" x14ac:dyDescent="0.25">
      <c r="B25" s="1">
        <v>13</v>
      </c>
      <c r="C25" s="86" t="e">
        <f>'data 2'!C40</f>
        <v>#DIV/0!</v>
      </c>
    </row>
    <row r="28" spans="1:12" ht="16.5" x14ac:dyDescent="0.3">
      <c r="A28" s="115"/>
      <c r="B28" s="1" t="s">
        <v>109</v>
      </c>
      <c r="C28" s="1" t="s">
        <v>110</v>
      </c>
      <c r="D28" s="9"/>
      <c r="E28" s="9"/>
      <c r="F28" s="9"/>
      <c r="G28" s="9"/>
      <c r="H28" s="7" t="s">
        <v>72</v>
      </c>
      <c r="I28" s="115"/>
      <c r="J28" s="115"/>
      <c r="K28" s="115"/>
      <c r="L28" s="115"/>
    </row>
    <row r="29" spans="1:12" x14ac:dyDescent="0.25">
      <c r="A29" s="115"/>
      <c r="B29" s="3">
        <f>data!D12</f>
        <v>0</v>
      </c>
      <c r="C29" s="3" t="e">
        <f>(1+0.5*B29/G3)*B6</f>
        <v>#DIV/0!</v>
      </c>
      <c r="D29" s="9"/>
      <c r="E29" s="9"/>
      <c r="F29" s="9"/>
      <c r="G29" s="9"/>
      <c r="H29" s="3" t="e">
        <f>D32/(C32+D32)*E32</f>
        <v>#DIV/0!</v>
      </c>
      <c r="I29" s="115"/>
      <c r="J29" s="115"/>
      <c r="K29" s="115"/>
      <c r="L29" s="115"/>
    </row>
    <row r="30" spans="1:12" x14ac:dyDescent="0.25">
      <c r="A30" s="115"/>
      <c r="B30" s="9"/>
      <c r="C30" s="9"/>
      <c r="D30" s="9"/>
      <c r="E30" s="9"/>
      <c r="F30" s="9"/>
      <c r="G30" s="9"/>
      <c r="I30" s="115"/>
      <c r="J30" s="115"/>
      <c r="K30" s="115"/>
      <c r="L30" s="115"/>
    </row>
    <row r="31" spans="1:12" ht="16.5" x14ac:dyDescent="0.3">
      <c r="A31" s="115"/>
      <c r="B31" s="1" t="s">
        <v>111</v>
      </c>
      <c r="C31" s="1" t="s">
        <v>112</v>
      </c>
      <c r="D31" s="1" t="s">
        <v>72</v>
      </c>
      <c r="E31" s="1" t="s">
        <v>69</v>
      </c>
      <c r="F31" s="1" t="s">
        <v>113</v>
      </c>
      <c r="G31" s="7" t="s">
        <v>112</v>
      </c>
      <c r="I31" s="115"/>
      <c r="J31" s="115"/>
      <c r="K31" s="115"/>
      <c r="L31" s="115"/>
    </row>
    <row r="32" spans="1:12" x14ac:dyDescent="0.25">
      <c r="A32" s="115"/>
      <c r="B32" s="3">
        <f>data!D13</f>
        <v>0</v>
      </c>
      <c r="C32" s="3" t="e">
        <f>(1+0.5*(B29+B32)/G3)*B6</f>
        <v>#DIV/0!</v>
      </c>
      <c r="D32" s="3" t="e">
        <f>1.5*B6</f>
        <v>#DIV/0!</v>
      </c>
      <c r="E32" s="3" t="e">
        <f>(G26-G3/SIN(data!O6))</f>
        <v>#DIV/0!</v>
      </c>
      <c r="F32" s="3" t="e">
        <f>C32+D32</f>
        <v>#DIV/0!</v>
      </c>
      <c r="G32" s="3" t="e">
        <f>C32/(C32+D32)*E32</f>
        <v>#DIV/0!</v>
      </c>
      <c r="I32" s="115"/>
      <c r="J32" s="115"/>
      <c r="K32" s="115"/>
      <c r="L32" s="115"/>
    </row>
    <row r="33" spans="1:12" x14ac:dyDescent="0.25">
      <c r="A33" s="115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</row>
    <row r="34" spans="1:12" x14ac:dyDescent="0.25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</row>
    <row r="35" spans="1:12" x14ac:dyDescent="0.25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</row>
    <row r="36" spans="1:12" x14ac:dyDescent="0.25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</row>
    <row r="37" spans="1:12" x14ac:dyDescent="0.25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</row>
    <row r="38" spans="1:12" x14ac:dyDescent="0.25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</row>
    <row r="39" spans="1:12" x14ac:dyDescent="0.25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</row>
    <row r="40" spans="1:12" x14ac:dyDescent="0.25">
      <c r="A40" s="115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</row>
    <row r="41" spans="1:12" x14ac:dyDescent="0.25">
      <c r="A41" s="115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</row>
    <row r="42" spans="1:12" x14ac:dyDescent="0.25">
      <c r="A42" s="115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</row>
    <row r="43" spans="1:12" x14ac:dyDescent="0.25">
      <c r="A43" s="115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workbookViewId="0">
      <selection activeCell="D14" sqref="D14:D15"/>
    </sheetView>
  </sheetViews>
  <sheetFormatPr baseColWidth="10" defaultRowHeight="15.75" x14ac:dyDescent="0.25"/>
  <sheetData>
    <row r="2" spans="1:11" ht="16.5" x14ac:dyDescent="0.3">
      <c r="A2" t="s">
        <v>1</v>
      </c>
      <c r="B2" s="1" t="s">
        <v>1</v>
      </c>
      <c r="C2" s="1" t="s">
        <v>3</v>
      </c>
      <c r="D2" s="1" t="s">
        <v>2</v>
      </c>
    </row>
    <row r="3" spans="1:11" x14ac:dyDescent="0.25">
      <c r="A3">
        <f>data!F6</f>
        <v>0</v>
      </c>
      <c r="B3" s="3" t="e">
        <f>flange!C5</f>
        <v>#DIV/0!</v>
      </c>
      <c r="C3" s="3">
        <f>data!K6</f>
        <v>0</v>
      </c>
      <c r="D3" s="3">
        <f>data!J6</f>
        <v>0</v>
      </c>
    </row>
    <row r="8" spans="1:11" ht="18.75" x14ac:dyDescent="0.3">
      <c r="B8" s="1" t="s">
        <v>4</v>
      </c>
      <c r="C8" s="26" t="s">
        <v>49</v>
      </c>
      <c r="D8" s="26" t="s">
        <v>76</v>
      </c>
      <c r="E8" s="26" t="s">
        <v>29</v>
      </c>
      <c r="F8" s="26" t="s">
        <v>30</v>
      </c>
      <c r="G8" s="26" t="s">
        <v>31</v>
      </c>
      <c r="H8" s="26" t="s">
        <v>32</v>
      </c>
      <c r="I8" s="27" t="s">
        <v>33</v>
      </c>
      <c r="J8" s="26" t="s">
        <v>34</v>
      </c>
    </row>
    <row r="9" spans="1:11" x14ac:dyDescent="0.25">
      <c r="A9" s="87">
        <v>0</v>
      </c>
      <c r="B9" s="26">
        <v>1</v>
      </c>
      <c r="C9" s="35" t="e">
        <f>web!C11</f>
        <v>#DIV/0!</v>
      </c>
      <c r="D9" s="88" t="e">
        <f>B$3*stiffnerbis!B$40</f>
        <v>#DIV/0!</v>
      </c>
      <c r="E9" s="88" t="e">
        <f>IF(stiffnerbis!G$40&lt;1,C9*D9*stiffnerbis!E$40,C9*B$3)</f>
        <v>#DIV/0!</v>
      </c>
      <c r="F9" s="3">
        <f>'data 2'!J28</f>
        <v>0</v>
      </c>
      <c r="G9" s="1" t="e">
        <f>E9*F9</f>
        <v>#DIV/0!</v>
      </c>
      <c r="H9" s="3" t="e">
        <f t="shared" ref="H9:H23" si="0">$H$27-F9</f>
        <v>#DIV/0!</v>
      </c>
      <c r="I9" s="57" t="e">
        <f>'data 2'!M28</f>
        <v>#DIV/0!</v>
      </c>
      <c r="J9" s="38" t="e">
        <f>E9*I9^2/12+E9*H9^2</f>
        <v>#DIV/0!</v>
      </c>
    </row>
    <row r="10" spans="1:11" x14ac:dyDescent="0.25">
      <c r="A10" s="87">
        <v>0.80870598857129861</v>
      </c>
      <c r="B10" s="26">
        <v>2</v>
      </c>
      <c r="C10" s="35" t="e">
        <f>web!C12</f>
        <v>#DIV/0!</v>
      </c>
      <c r="D10" s="88" t="e">
        <f>B$3*stiffnerbis!B$40</f>
        <v>#DIV/0!</v>
      </c>
      <c r="E10" s="88" t="e">
        <f>IF(stiffnerbis!G$40&lt;1,C10*D10*stiffnerbis!E$40,C10*B$3)</f>
        <v>#DIV/0!</v>
      </c>
      <c r="F10" s="3" t="e">
        <f>'data 2'!J29</f>
        <v>#DIV/0!</v>
      </c>
      <c r="G10" s="1" t="e">
        <f t="shared" ref="G10:G23" si="1">E10*F10</f>
        <v>#DIV/0!</v>
      </c>
      <c r="H10" s="3" t="e">
        <f t="shared" si="0"/>
        <v>#DIV/0!</v>
      </c>
      <c r="I10" s="57"/>
      <c r="J10" s="48" t="e">
        <f>D10*'data 2'!E$3^3*(('data 2'!B$3+SIN('data 2'!B$3)*COS('data 2'!B$3))/2-SIN('data 2'!B$3)^2/'data 2'!B$3)+E10*H10^2</f>
        <v>#DIV/0!</v>
      </c>
    </row>
    <row r="11" spans="1:11" x14ac:dyDescent="0.25">
      <c r="A11" s="87">
        <v>10.497526735775734</v>
      </c>
      <c r="B11" s="26">
        <v>3</v>
      </c>
      <c r="C11" s="35" t="e">
        <f>web!C13</f>
        <v>#DIV/0!</v>
      </c>
      <c r="D11" s="88" t="e">
        <f>B$3*stiffnerbis!B$40</f>
        <v>#DIV/0!</v>
      </c>
      <c r="E11" s="88" t="e">
        <f>IF(stiffnerbis!G$40&lt;1,C11*D11*stiffnerbis!E$40,C11*B$3)</f>
        <v>#DIV/0!</v>
      </c>
      <c r="F11" s="3">
        <f>'data 2'!J30</f>
        <v>0</v>
      </c>
      <c r="G11" s="1" t="e">
        <f t="shared" si="1"/>
        <v>#DIV/0!</v>
      </c>
      <c r="H11" s="3" t="e">
        <f t="shared" si="0"/>
        <v>#DIV/0!</v>
      </c>
      <c r="I11" s="57" t="e">
        <f>'data 2'!M30</f>
        <v>#DIV/0!</v>
      </c>
      <c r="J11" s="38" t="e">
        <f>E11*I11^2/12+E11*H11^2</f>
        <v>#DIV/0!</v>
      </c>
      <c r="K11" t="e">
        <f>C11*stiffnerbis!G40*B3</f>
        <v>#DIV/0!</v>
      </c>
    </row>
    <row r="12" spans="1:11" x14ac:dyDescent="0.25">
      <c r="A12" s="87">
        <v>0.80870598857129861</v>
      </c>
      <c r="B12" s="26">
        <v>4</v>
      </c>
      <c r="C12" s="35" t="e">
        <f>web!C14</f>
        <v>#DIV/0!</v>
      </c>
      <c r="D12" s="88" t="e">
        <f>B$3*stiffnerbis!B$40</f>
        <v>#DIV/0!</v>
      </c>
      <c r="E12" s="88" t="e">
        <f>IF(stiffnerbis!G$40&lt;1,C12*D12*stiffnerbis!E$40,C12*B$3)</f>
        <v>#DIV/0!</v>
      </c>
      <c r="F12" s="3" t="e">
        <f>'data 2'!J31</f>
        <v>#DIV/0!</v>
      </c>
      <c r="G12" s="1" t="e">
        <f t="shared" si="1"/>
        <v>#DIV/0!</v>
      </c>
      <c r="H12" s="3" t="e">
        <f t="shared" si="0"/>
        <v>#DIV/0!</v>
      </c>
      <c r="I12" s="57"/>
      <c r="J12" s="48" t="e">
        <f>D12*'data 2'!E$3^3*(('data 2'!B$3+SIN('data 2'!B$3)*COS('data 2'!B$3))/2-SIN('data 2'!B$3)^2/'data 2'!B$3)+E12*H12^2</f>
        <v>#DIV/0!</v>
      </c>
    </row>
    <row r="13" spans="1:11" x14ac:dyDescent="0.25">
      <c r="B13" s="26">
        <v>51</v>
      </c>
      <c r="C13" s="35" t="e">
        <f>web!C15</f>
        <v>#DIV/0!</v>
      </c>
      <c r="D13" s="88" t="e">
        <f>B$3*stiffnerbis!B$40</f>
        <v>#DIV/0!</v>
      </c>
      <c r="E13" s="88" t="e">
        <f>IF(stiffnerbis!G$40&lt;1,C13*D13*stiffnerbis!E$40,C13*B$3)</f>
        <v>#DIV/0!</v>
      </c>
      <c r="F13" s="3">
        <f>'data 2'!J32</f>
        <v>0</v>
      </c>
      <c r="G13" s="1" t="e">
        <f t="shared" si="1"/>
        <v>#DIV/0!</v>
      </c>
      <c r="H13" s="3" t="e">
        <f t="shared" si="0"/>
        <v>#DIV/0!</v>
      </c>
      <c r="I13" s="57" t="e">
        <f>'data 2'!M32</f>
        <v>#DIV/0!</v>
      </c>
      <c r="J13" s="38" t="e">
        <f>E13*I13^2/12+E13*H13^2</f>
        <v>#DIV/0!</v>
      </c>
    </row>
    <row r="14" spans="1:11" x14ac:dyDescent="0.25">
      <c r="B14" s="26">
        <v>52</v>
      </c>
      <c r="C14" s="35" t="e">
        <f>web!C16</f>
        <v>#DIV/0!</v>
      </c>
      <c r="D14" s="57" t="e">
        <f t="shared" ref="D14:D15" si="2">B$3</f>
        <v>#DIV/0!</v>
      </c>
      <c r="E14" s="57" t="e">
        <f t="shared" ref="E14:E22" si="3">C14*D14</f>
        <v>#DIV/0!</v>
      </c>
      <c r="F14" s="3">
        <f>'data 2'!J32</f>
        <v>0</v>
      </c>
      <c r="G14" s="1" t="e">
        <f t="shared" si="1"/>
        <v>#DIV/0!</v>
      </c>
      <c r="H14" s="3" t="e">
        <f t="shared" si="0"/>
        <v>#DIV/0!</v>
      </c>
      <c r="I14" s="57" t="e">
        <f>'data 2'!M32</f>
        <v>#DIV/0!</v>
      </c>
      <c r="J14" s="38" t="e">
        <f>E14*I14^2/12+E14*H14^2</f>
        <v>#DIV/0!</v>
      </c>
    </row>
    <row r="15" spans="1:11" x14ac:dyDescent="0.25">
      <c r="B15" s="26">
        <v>6</v>
      </c>
      <c r="C15" s="35" t="e">
        <f>web!C17</f>
        <v>#DIV/0!</v>
      </c>
      <c r="D15" s="57" t="e">
        <f t="shared" si="2"/>
        <v>#DIV/0!</v>
      </c>
      <c r="E15" s="57" t="e">
        <f t="shared" si="3"/>
        <v>#DIV/0!</v>
      </c>
      <c r="F15" s="3" t="e">
        <f>'data 2'!J33</f>
        <v>#DIV/0!</v>
      </c>
      <c r="G15" s="1" t="e">
        <f t="shared" si="1"/>
        <v>#DIV/0!</v>
      </c>
      <c r="H15" s="3" t="e">
        <f t="shared" si="0"/>
        <v>#DIV/0!</v>
      </c>
      <c r="I15" s="57"/>
      <c r="J15" s="48" t="e">
        <f>D15*'data 2'!E$3^3*(('data 2'!C$3+SIN('data 2'!C$3)*COS('data 2'!C$3))/2-SIN('data 2'!C$3)^2/'data 2'!C$3)+E15*H15^2</f>
        <v>#DIV/0!</v>
      </c>
    </row>
    <row r="16" spans="1:11" x14ac:dyDescent="0.25">
      <c r="B16" s="26">
        <v>7</v>
      </c>
      <c r="C16" s="35" t="e">
        <f>web!C18</f>
        <v>#DIV/0!</v>
      </c>
      <c r="D16" s="57">
        <f>A$3</f>
        <v>0</v>
      </c>
      <c r="E16" s="57" t="e">
        <f t="shared" si="3"/>
        <v>#DIV/0!</v>
      </c>
      <c r="F16" s="3">
        <f>'data 2'!J34</f>
        <v>0</v>
      </c>
      <c r="G16" s="1" t="e">
        <f t="shared" si="1"/>
        <v>#DIV/0!</v>
      </c>
      <c r="H16" s="3" t="e">
        <f t="shared" si="0"/>
        <v>#DIV/0!</v>
      </c>
      <c r="I16" s="57" t="e">
        <f>'data 2'!M34</f>
        <v>#DIV/0!</v>
      </c>
      <c r="J16" s="38" t="e">
        <f>E16*I16^2/12+E16*H16^2</f>
        <v>#DIV/0!</v>
      </c>
    </row>
    <row r="17" spans="2:11" x14ac:dyDescent="0.25">
      <c r="B17" s="36" t="s">
        <v>75</v>
      </c>
      <c r="C17" s="35" t="e">
        <f>web!C19</f>
        <v>#DIV/0!</v>
      </c>
      <c r="D17" s="57">
        <f t="shared" ref="D17:D23" si="4">A$3</f>
        <v>0</v>
      </c>
      <c r="E17" s="57" t="e">
        <f t="shared" si="3"/>
        <v>#DIV/0!</v>
      </c>
      <c r="F17" s="3" t="e">
        <f>'data 2'!L43+(web!D6-web!C19/2)*SIN(data!O6)</f>
        <v>#DIV/0!</v>
      </c>
      <c r="G17" s="1" t="e">
        <f t="shared" si="1"/>
        <v>#DIV/0!</v>
      </c>
      <c r="H17" s="3" t="e">
        <f t="shared" si="0"/>
        <v>#DIV/0!</v>
      </c>
      <c r="I17" s="93" t="e">
        <f>-C17*SIN(data!O6)</f>
        <v>#DIV/0!</v>
      </c>
      <c r="J17" s="38" t="e">
        <f>E17*I17^2/12+E17*H17^2</f>
        <v>#DIV/0!</v>
      </c>
    </row>
    <row r="18" spans="2:11" x14ac:dyDescent="0.25">
      <c r="B18" s="26">
        <v>8</v>
      </c>
      <c r="C18" s="35" t="e">
        <f>web!C20</f>
        <v>#DIV/0!</v>
      </c>
      <c r="D18" s="57">
        <f t="shared" si="4"/>
        <v>0</v>
      </c>
      <c r="E18" s="57" t="e">
        <f t="shared" si="3"/>
        <v>#DIV/0!</v>
      </c>
      <c r="F18" s="3">
        <f>'data 2'!J35</f>
        <v>0</v>
      </c>
      <c r="G18" s="1" t="e">
        <f t="shared" si="1"/>
        <v>#DIV/0!</v>
      </c>
      <c r="H18" s="3" t="e">
        <f t="shared" si="0"/>
        <v>#DIV/0!</v>
      </c>
      <c r="I18" s="57"/>
      <c r="J18" s="48" t="e">
        <f>D18*'data 2'!E$3^3*(('data 2'!D$3+SIN('data 2'!D$3)*COS('data 2'!D$3))/2-SIN('data 2'!D$3)^2/'data 2'!D$3)+E18*H18^2</f>
        <v>#DIV/0!</v>
      </c>
    </row>
    <row r="19" spans="2:11" x14ac:dyDescent="0.25">
      <c r="B19" s="26">
        <v>9</v>
      </c>
      <c r="C19" s="35" t="e">
        <f>web!C21</f>
        <v>#DIV/0!</v>
      </c>
      <c r="D19" s="57">
        <f t="shared" si="4"/>
        <v>0</v>
      </c>
      <c r="E19" s="57" t="e">
        <f t="shared" si="3"/>
        <v>#DIV/0!</v>
      </c>
      <c r="F19" s="3">
        <f>'data 2'!J36</f>
        <v>0</v>
      </c>
      <c r="G19" s="1" t="e">
        <f t="shared" si="1"/>
        <v>#DIV/0!</v>
      </c>
      <c r="H19" s="3" t="e">
        <f t="shared" si="0"/>
        <v>#DIV/0!</v>
      </c>
      <c r="I19" s="57" t="e">
        <f>'data 2'!M36</f>
        <v>#DIV/0!</v>
      </c>
      <c r="J19" s="38" t="e">
        <f>E19*I19^2/12+E19*H19^2</f>
        <v>#DIV/0!</v>
      </c>
    </row>
    <row r="20" spans="2:11" x14ac:dyDescent="0.25">
      <c r="B20" s="26">
        <v>10</v>
      </c>
      <c r="C20" s="35" t="e">
        <f>web!C22</f>
        <v>#DIV/0!</v>
      </c>
      <c r="D20" s="57">
        <f t="shared" si="4"/>
        <v>0</v>
      </c>
      <c r="E20" s="57" t="e">
        <f t="shared" si="3"/>
        <v>#DIV/0!</v>
      </c>
      <c r="F20" s="3">
        <f>'data 2'!J37</f>
        <v>0</v>
      </c>
      <c r="G20" s="1" t="e">
        <f t="shared" si="1"/>
        <v>#DIV/0!</v>
      </c>
      <c r="H20" s="3" t="e">
        <f t="shared" si="0"/>
        <v>#DIV/0!</v>
      </c>
      <c r="I20" s="57"/>
      <c r="J20" s="48" t="e">
        <f>D20*'data 2'!E$3^3*(('data 2'!D$3+SIN('data 2'!D$3)*COS('data 2'!D$3))/2-SIN('data 2'!D$3)^2/'data 2'!D$3)+E20*H20^2</f>
        <v>#DIV/0!</v>
      </c>
    </row>
    <row r="21" spans="2:11" x14ac:dyDescent="0.25">
      <c r="B21" s="26">
        <v>11</v>
      </c>
      <c r="C21" s="35" t="e">
        <f>web!C23</f>
        <v>#DIV/0!</v>
      </c>
      <c r="D21" s="57">
        <f t="shared" si="4"/>
        <v>0</v>
      </c>
      <c r="E21" s="57" t="e">
        <f t="shared" si="3"/>
        <v>#DIV/0!</v>
      </c>
      <c r="F21" s="3">
        <f>'data 2'!J38</f>
        <v>0</v>
      </c>
      <c r="G21" s="1" t="e">
        <f>E21*F21</f>
        <v>#DIV/0!</v>
      </c>
      <c r="H21" s="3" t="e">
        <f t="shared" si="0"/>
        <v>#DIV/0!</v>
      </c>
      <c r="I21" s="57" t="e">
        <f>'data 2'!M38</f>
        <v>#DIV/0!</v>
      </c>
      <c r="J21" s="38" t="e">
        <f>E21*I21^2/12+E21*H21^2</f>
        <v>#DIV/0!</v>
      </c>
    </row>
    <row r="22" spans="2:11" x14ac:dyDescent="0.25">
      <c r="B22" s="26">
        <v>12</v>
      </c>
      <c r="C22" s="35" t="e">
        <f>web!C24</f>
        <v>#DIV/0!</v>
      </c>
      <c r="D22" s="57">
        <f t="shared" si="4"/>
        <v>0</v>
      </c>
      <c r="E22" s="57" t="e">
        <f t="shared" si="3"/>
        <v>#DIV/0!</v>
      </c>
      <c r="F22" s="3" t="e">
        <f>'data 2'!J39</f>
        <v>#DIV/0!</v>
      </c>
      <c r="G22" s="1" t="e">
        <f t="shared" si="1"/>
        <v>#DIV/0!</v>
      </c>
      <c r="H22" s="3" t="e">
        <f t="shared" si="0"/>
        <v>#DIV/0!</v>
      </c>
      <c r="I22" s="57"/>
      <c r="J22" s="48" t="e">
        <f>D22*'data 2'!E$3^3*(('data 2'!D$3+SIN('data 2'!C$3)*COS('data 2'!C$3))/2-SIN('data 2'!C$3)^2/'data 2'!C$3)+E22*H22^2</f>
        <v>#DIV/0!</v>
      </c>
    </row>
    <row r="23" spans="2:11" x14ac:dyDescent="0.25">
      <c r="B23" s="26">
        <v>13</v>
      </c>
      <c r="C23" s="35" t="e">
        <f>web!C25</f>
        <v>#DIV/0!</v>
      </c>
      <c r="D23" s="57">
        <f t="shared" si="4"/>
        <v>0</v>
      </c>
      <c r="E23" s="57" t="e">
        <f>C23*D23</f>
        <v>#DIV/0!</v>
      </c>
      <c r="F23" s="3">
        <f>'data 2'!J40</f>
        <v>0</v>
      </c>
      <c r="G23" s="1" t="e">
        <f t="shared" si="1"/>
        <v>#DIV/0!</v>
      </c>
      <c r="H23" s="3" t="e">
        <f t="shared" si="0"/>
        <v>#DIV/0!</v>
      </c>
      <c r="I23" s="57">
        <f>'data 2'!M40</f>
        <v>0</v>
      </c>
      <c r="J23" s="38" t="e">
        <f>E23*I23^2/12+E23*H23^2</f>
        <v>#DIV/0!</v>
      </c>
    </row>
    <row r="24" spans="2:11" x14ac:dyDescent="0.25">
      <c r="B24" s="26"/>
      <c r="C24" s="1"/>
      <c r="D24" s="1"/>
      <c r="E24" s="3"/>
      <c r="F24" s="1"/>
      <c r="G24" s="3"/>
      <c r="H24" s="3"/>
      <c r="I24" s="1"/>
      <c r="J24" s="31"/>
    </row>
    <row r="27" spans="2:11" x14ac:dyDescent="0.25">
      <c r="B27" s="26" t="s">
        <v>52</v>
      </c>
      <c r="C27" s="9"/>
      <c r="D27" s="9"/>
      <c r="E27" s="3" t="e">
        <f>SUM(E9:E26)</f>
        <v>#DIV/0!</v>
      </c>
      <c r="G27" s="3" t="e">
        <f>SUM(G9:G26)</f>
        <v>#DIV/0!</v>
      </c>
      <c r="H27" s="3" t="e">
        <f>G27/E27</f>
        <v>#DIV/0!</v>
      </c>
      <c r="J27" s="31" t="e">
        <f>SUM(J9:J26)</f>
        <v>#DIV/0!</v>
      </c>
      <c r="K27" s="89" t="s">
        <v>77</v>
      </c>
    </row>
    <row r="28" spans="2:11" x14ac:dyDescent="0.25">
      <c r="E28" s="9" t="e">
        <f>E27*2</f>
        <v>#DIV/0!</v>
      </c>
      <c r="G28" s="9"/>
      <c r="H28" s="10" t="e">
        <f>data!I6-moment!H27</f>
        <v>#DIV/0!</v>
      </c>
      <c r="J28" s="9" t="e">
        <f>J27*2</f>
        <v>#DIV/0!</v>
      </c>
      <c r="K28" s="89" t="s">
        <v>78</v>
      </c>
    </row>
    <row r="29" spans="2:11" x14ac:dyDescent="0.25">
      <c r="B29" s="9" t="s">
        <v>80</v>
      </c>
      <c r="C29" s="9" t="e">
        <f>J27/MAX(H27,H28)</f>
        <v>#DIV/0!</v>
      </c>
      <c r="D29" s="9" t="s">
        <v>77</v>
      </c>
      <c r="J29" s="9" t="e">
        <f>J28/data!H6</f>
        <v>#DIV/0!</v>
      </c>
      <c r="K29" s="89" t="s">
        <v>79</v>
      </c>
    </row>
    <row r="30" spans="2:11" x14ac:dyDescent="0.25">
      <c r="B30" s="9" t="s">
        <v>80</v>
      </c>
      <c r="C30" s="9" t="e">
        <f>2*C29</f>
        <v>#DIV/0!</v>
      </c>
      <c r="D30" s="9" t="s">
        <v>78</v>
      </c>
    </row>
    <row r="31" spans="2:11" x14ac:dyDescent="0.25">
      <c r="B31" s="9" t="s">
        <v>80</v>
      </c>
      <c r="C31" s="9" t="e">
        <f>C30/data!H6</f>
        <v>#DIV/0!</v>
      </c>
      <c r="D31" s="9" t="s">
        <v>81</v>
      </c>
    </row>
    <row r="32" spans="2:11" x14ac:dyDescent="0.25">
      <c r="B32" s="9"/>
      <c r="C32" s="9"/>
      <c r="D32" s="9"/>
    </row>
    <row r="33" spans="2:4" x14ac:dyDescent="0.25">
      <c r="B33" s="9" t="s">
        <v>82</v>
      </c>
      <c r="C33" s="9" t="s">
        <v>82</v>
      </c>
      <c r="D33" s="9"/>
    </row>
    <row r="34" spans="2:4" x14ac:dyDescent="0.25">
      <c r="B34" s="90" t="e">
        <f>D3*C31*1</f>
        <v>#DIV/0!</v>
      </c>
      <c r="C34" s="90" t="s">
        <v>83</v>
      </c>
      <c r="D34" s="91"/>
    </row>
    <row r="35" spans="2:4" x14ac:dyDescent="0.25">
      <c r="B35" s="92" t="e">
        <f>B34/1000</f>
        <v>#DIV/0!</v>
      </c>
      <c r="C35" t="s">
        <v>84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C5" sqref="C5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2" t="s">
        <v>38</v>
      </c>
      <c r="H4" s="53" t="s">
        <v>39</v>
      </c>
      <c r="I4" s="1" t="s">
        <v>40</v>
      </c>
      <c r="J4" s="54" t="s">
        <v>41</v>
      </c>
      <c r="K4" s="55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'data 2'!C8-'data 2'!C16-'data 2'!F16</f>
        <v>#DIV/0!</v>
      </c>
      <c r="C5" s="3" t="e">
        <f>flange!C5</f>
        <v>#DIV/0!</v>
      </c>
      <c r="D5" s="56">
        <f>'data 2'!L3</f>
        <v>0</v>
      </c>
      <c r="E5" s="3">
        <f>'data 2'!M3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MIN(D5,D5*('data 2'!K3-moment!H27)/moment!H27)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27</vt:i4>
      </vt:variant>
    </vt:vector>
  </HeadingPairs>
  <TitlesOfParts>
    <vt:vector size="27" baseType="lpstr">
      <vt:lpstr>data</vt:lpstr>
      <vt:lpstr>data 2</vt:lpstr>
      <vt:lpstr>flange</vt:lpstr>
      <vt:lpstr>stiffner</vt:lpstr>
      <vt:lpstr>flangebis</vt:lpstr>
      <vt:lpstr>stiffnerbis</vt:lpstr>
      <vt:lpstr>web</vt:lpstr>
      <vt:lpstr>moment</vt:lpstr>
      <vt:lpstr>flange (2)</vt:lpstr>
      <vt:lpstr>stiffner (2)</vt:lpstr>
      <vt:lpstr>flangebis (2)</vt:lpstr>
      <vt:lpstr>stiffnerbis (2)</vt:lpstr>
      <vt:lpstr>web (2)</vt:lpstr>
      <vt:lpstr>moment (2)</vt:lpstr>
      <vt:lpstr>flange (3)</vt:lpstr>
      <vt:lpstr>stiffner (3)</vt:lpstr>
      <vt:lpstr>flangebis (3)</vt:lpstr>
      <vt:lpstr>stiffnerbis (3)</vt:lpstr>
      <vt:lpstr>web (3)</vt:lpstr>
      <vt:lpstr>moment (3)</vt:lpstr>
      <vt:lpstr>flange (4)</vt:lpstr>
      <vt:lpstr>stiffner (4)</vt:lpstr>
      <vt:lpstr>flangebis (4)</vt:lpstr>
      <vt:lpstr>stiffnerbis (4)</vt:lpstr>
      <vt:lpstr>web (4)</vt:lpstr>
      <vt:lpstr>moment (4)</vt:lpstr>
      <vt:lpstr>Feuil1</vt:lpstr>
    </vt:vector>
  </TitlesOfParts>
  <Company>Sokol Palisson Consultants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Palisson</dc:creator>
  <cp:lastModifiedBy>Valérie</cp:lastModifiedBy>
  <dcterms:created xsi:type="dcterms:W3CDTF">2016-02-03T16:34:04Z</dcterms:created>
  <dcterms:modified xsi:type="dcterms:W3CDTF">2016-11-30T09:56:10Z</dcterms:modified>
</cp:coreProperties>
</file>