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360" windowWidth="14850" windowHeight="8940"/>
  </bookViews>
  <sheets>
    <sheet name="compression force in the flange" sheetId="1" r:id="rId1"/>
    <sheet name="buckling curves" sheetId="2" r:id="rId2"/>
  </sheets>
  <definedNames>
    <definedName name="OLE_LINK1" localSheetId="0">'compression force in the flange'!$T$37</definedName>
  </definedNames>
  <calcPr calcId="145621" calcMode="autoNoTable" iterate="1" iterateCount="1" iterateDelta="0"/>
</workbook>
</file>

<file path=xl/calcChain.xml><?xml version="1.0" encoding="utf-8"?>
<calcChain xmlns="http://schemas.openxmlformats.org/spreadsheetml/2006/main">
  <c r="L26" i="1" l="1"/>
  <c r="E26" i="1"/>
  <c r="L21" i="1"/>
  <c r="E21" i="1"/>
  <c r="B11" i="1"/>
  <c r="J8" i="2" l="1"/>
  <c r="K8" i="2" s="1"/>
  <c r="I8" i="2"/>
  <c r="H8" i="2"/>
  <c r="F8" i="2"/>
  <c r="G8" i="2" s="1"/>
  <c r="E8" i="2"/>
  <c r="D8" i="2"/>
  <c r="C8" i="2"/>
  <c r="B9" i="2"/>
  <c r="D9" i="2" s="1"/>
  <c r="E9" i="2" s="1"/>
  <c r="C11" i="1"/>
  <c r="A24" i="1"/>
  <c r="N24" i="1" s="1"/>
  <c r="H11" i="1"/>
  <c r="B15" i="1"/>
  <c r="H15" i="1" s="1"/>
  <c r="C15" i="1"/>
  <c r="D15" i="1"/>
  <c r="A29" i="1"/>
  <c r="N29" i="1" s="1"/>
  <c r="B19" i="1"/>
  <c r="C19" i="1"/>
  <c r="D19" i="1"/>
  <c r="I24" i="1" l="1"/>
  <c r="J24" i="1" s="1"/>
  <c r="K24" i="1" s="1"/>
  <c r="I29" i="1"/>
  <c r="J29" i="1" s="1"/>
  <c r="K29" i="1" s="1"/>
  <c r="C29" i="1"/>
  <c r="D29" i="1" s="1"/>
  <c r="E29" i="1" s="1"/>
  <c r="C24" i="1"/>
  <c r="D24" i="1" s="1"/>
  <c r="E24" i="1" s="1"/>
  <c r="J9" i="2"/>
  <c r="K9" i="2" s="1"/>
  <c r="F9" i="2"/>
  <c r="G9" i="2" s="1"/>
  <c r="C9" i="2"/>
  <c r="B10" i="2"/>
  <c r="H9" i="2"/>
  <c r="I9" i="2" s="1"/>
  <c r="J10" i="2" l="1"/>
  <c r="K10" i="2" s="1"/>
  <c r="F10" i="2"/>
  <c r="G10" i="2" s="1"/>
  <c r="C10" i="2"/>
  <c r="B11" i="2"/>
  <c r="H10" i="2"/>
  <c r="I10" i="2" s="1"/>
  <c r="D10" i="2"/>
  <c r="E10" i="2" s="1"/>
  <c r="J11" i="2" l="1"/>
  <c r="K11" i="2" s="1"/>
  <c r="F11" i="2"/>
  <c r="G11" i="2" s="1"/>
  <c r="B12" i="2"/>
  <c r="C11" i="2"/>
  <c r="H11" i="2"/>
  <c r="I11" i="2" s="1"/>
  <c r="D11" i="2"/>
  <c r="E11" i="2" s="1"/>
  <c r="J12" i="2" l="1"/>
  <c r="K12" i="2" s="1"/>
  <c r="F12" i="2"/>
  <c r="G12" i="2" s="1"/>
  <c r="H12" i="2"/>
  <c r="I12" i="2" s="1"/>
  <c r="C12" i="2"/>
  <c r="D12" i="2"/>
  <c r="E12" i="2" s="1"/>
  <c r="B13" i="2"/>
  <c r="J13" i="2" l="1"/>
  <c r="K13" i="2" s="1"/>
  <c r="F13" i="2"/>
  <c r="G13" i="2" s="1"/>
  <c r="C13" i="2"/>
  <c r="B14" i="2"/>
  <c r="H13" i="2"/>
  <c r="I13" i="2" s="1"/>
  <c r="D13" i="2"/>
  <c r="E13" i="2" s="1"/>
  <c r="J14" i="2" l="1"/>
  <c r="K14" i="2" s="1"/>
  <c r="F14" i="2"/>
  <c r="G14" i="2" s="1"/>
  <c r="C14" i="2"/>
  <c r="B15" i="2"/>
  <c r="H14" i="2"/>
  <c r="I14" i="2" s="1"/>
  <c r="D14" i="2"/>
  <c r="E14" i="2" s="1"/>
  <c r="J15" i="2" l="1"/>
  <c r="K15" i="2" s="1"/>
  <c r="F15" i="2"/>
  <c r="G15" i="2" s="1"/>
  <c r="B16" i="2"/>
  <c r="C15" i="2"/>
  <c r="H15" i="2"/>
  <c r="I15" i="2" s="1"/>
  <c r="D15" i="2"/>
  <c r="E15" i="2" s="1"/>
  <c r="J16" i="2" l="1"/>
  <c r="K16" i="2" s="1"/>
  <c r="F16" i="2"/>
  <c r="G16" i="2" s="1"/>
  <c r="H16" i="2"/>
  <c r="I16" i="2" s="1"/>
  <c r="D16" i="2"/>
  <c r="E16" i="2" s="1"/>
  <c r="C16" i="2"/>
  <c r="B17" i="2"/>
  <c r="J17" i="2" l="1"/>
  <c r="K17" i="2" s="1"/>
  <c r="F17" i="2"/>
  <c r="G17" i="2" s="1"/>
  <c r="C17" i="2"/>
  <c r="B18" i="2"/>
  <c r="H17" i="2"/>
  <c r="I17" i="2" s="1"/>
  <c r="D17" i="2"/>
  <c r="E17" i="2" s="1"/>
  <c r="J18" i="2" l="1"/>
  <c r="K18" i="2" s="1"/>
  <c r="F18" i="2"/>
  <c r="G18" i="2" s="1"/>
  <c r="C18" i="2"/>
  <c r="B19" i="2"/>
  <c r="H18" i="2"/>
  <c r="I18" i="2" s="1"/>
  <c r="D18" i="2"/>
  <c r="E18" i="2" s="1"/>
  <c r="J19" i="2" l="1"/>
  <c r="K19" i="2" s="1"/>
  <c r="F19" i="2"/>
  <c r="G19" i="2" s="1"/>
  <c r="B20" i="2"/>
  <c r="C19" i="2"/>
  <c r="H19" i="2"/>
  <c r="I19" i="2" s="1"/>
  <c r="D19" i="2"/>
  <c r="E19" i="2" s="1"/>
  <c r="J20" i="2" l="1"/>
  <c r="K20" i="2" s="1"/>
  <c r="F20" i="2"/>
  <c r="G20" i="2" s="1"/>
  <c r="H20" i="2"/>
  <c r="I20" i="2" s="1"/>
  <c r="B21" i="2"/>
  <c r="D20" i="2"/>
  <c r="E20" i="2" s="1"/>
  <c r="C20" i="2"/>
  <c r="J21" i="2" l="1"/>
  <c r="K21" i="2" s="1"/>
  <c r="F21" i="2"/>
  <c r="G21" i="2" s="1"/>
  <c r="C21" i="2"/>
  <c r="B22" i="2"/>
  <c r="H21" i="2"/>
  <c r="I21" i="2" s="1"/>
  <c r="D21" i="2"/>
  <c r="E21" i="2" s="1"/>
  <c r="J22" i="2" l="1"/>
  <c r="K22" i="2" s="1"/>
  <c r="F22" i="2"/>
  <c r="G22" i="2" s="1"/>
  <c r="C22" i="2"/>
  <c r="B23" i="2"/>
  <c r="H22" i="2"/>
  <c r="I22" i="2" s="1"/>
  <c r="D22" i="2"/>
  <c r="E22" i="2" s="1"/>
  <c r="J23" i="2" l="1"/>
  <c r="K23" i="2" s="1"/>
  <c r="F23" i="2"/>
  <c r="G23" i="2" s="1"/>
  <c r="B24" i="2"/>
  <c r="C23" i="2"/>
  <c r="H23" i="2"/>
  <c r="I23" i="2" s="1"/>
  <c r="D23" i="2"/>
  <c r="E23" i="2" s="1"/>
  <c r="J24" i="2" l="1"/>
  <c r="K24" i="2" s="1"/>
  <c r="F24" i="2"/>
  <c r="G24" i="2" s="1"/>
  <c r="H24" i="2"/>
  <c r="I24" i="2" s="1"/>
  <c r="D24" i="2"/>
  <c r="E24" i="2" s="1"/>
  <c r="C24" i="2"/>
  <c r="B25" i="2"/>
  <c r="J25" i="2" l="1"/>
  <c r="K25" i="2" s="1"/>
  <c r="F25" i="2"/>
  <c r="G25" i="2" s="1"/>
  <c r="C25" i="2"/>
  <c r="B26" i="2"/>
  <c r="H25" i="2"/>
  <c r="I25" i="2" s="1"/>
  <c r="D25" i="2"/>
  <c r="E25" i="2" s="1"/>
  <c r="J26" i="2" l="1"/>
  <c r="K26" i="2" s="1"/>
  <c r="F26" i="2"/>
  <c r="G26" i="2" s="1"/>
  <c r="C26" i="2"/>
  <c r="B27" i="2"/>
  <c r="H26" i="2"/>
  <c r="I26" i="2" s="1"/>
  <c r="D26" i="2"/>
  <c r="E26" i="2" s="1"/>
  <c r="J27" i="2" l="1"/>
  <c r="K27" i="2" s="1"/>
  <c r="F27" i="2"/>
  <c r="G27" i="2" s="1"/>
  <c r="B28" i="2"/>
  <c r="C27" i="2"/>
  <c r="H27" i="2"/>
  <c r="I27" i="2" s="1"/>
  <c r="D27" i="2"/>
  <c r="E27" i="2" s="1"/>
  <c r="J28" i="2" l="1"/>
  <c r="K28" i="2" s="1"/>
  <c r="F28" i="2"/>
  <c r="G28" i="2" s="1"/>
  <c r="H28" i="2"/>
  <c r="I28" i="2" s="1"/>
  <c r="C28" i="2"/>
  <c r="D28" i="2"/>
  <c r="E28" i="2" s="1"/>
  <c r="B29" i="2"/>
  <c r="J29" i="2" l="1"/>
  <c r="K29" i="2" s="1"/>
  <c r="F29" i="2"/>
  <c r="G29" i="2" s="1"/>
  <c r="C29" i="2"/>
  <c r="B30" i="2"/>
  <c r="H29" i="2"/>
  <c r="I29" i="2" s="1"/>
  <c r="D29" i="2"/>
  <c r="E29" i="2" s="1"/>
  <c r="J30" i="2" l="1"/>
  <c r="K30" i="2" s="1"/>
  <c r="F30" i="2"/>
  <c r="G30" i="2" s="1"/>
  <c r="C30" i="2"/>
  <c r="B31" i="2"/>
  <c r="H30" i="2"/>
  <c r="I30" i="2" s="1"/>
  <c r="D30" i="2"/>
  <c r="E30" i="2" s="1"/>
  <c r="J31" i="2" l="1"/>
  <c r="K31" i="2" s="1"/>
  <c r="F31" i="2"/>
  <c r="G31" i="2" s="1"/>
  <c r="B32" i="2"/>
  <c r="C31" i="2"/>
  <c r="H31" i="2"/>
  <c r="I31" i="2" s="1"/>
  <c r="D31" i="2"/>
  <c r="E31" i="2" s="1"/>
  <c r="J32" i="2" l="1"/>
  <c r="K32" i="2" s="1"/>
  <c r="F32" i="2"/>
  <c r="G32" i="2" s="1"/>
  <c r="H32" i="2"/>
  <c r="I32" i="2" s="1"/>
  <c r="D32" i="2"/>
  <c r="E32" i="2" s="1"/>
  <c r="C32" i="2"/>
  <c r="B33" i="2"/>
  <c r="J33" i="2" l="1"/>
  <c r="K33" i="2" s="1"/>
  <c r="F33" i="2"/>
  <c r="G33" i="2" s="1"/>
  <c r="C33" i="2"/>
  <c r="B34" i="2"/>
  <c r="H33" i="2"/>
  <c r="I33" i="2" s="1"/>
  <c r="D33" i="2"/>
  <c r="E33" i="2" s="1"/>
  <c r="J34" i="2" l="1"/>
  <c r="K34" i="2" s="1"/>
  <c r="F34" i="2"/>
  <c r="G34" i="2" s="1"/>
  <c r="C34" i="2"/>
  <c r="H34" i="2"/>
  <c r="I34" i="2" s="1"/>
  <c r="B35" i="2"/>
  <c r="D34" i="2"/>
  <c r="E34" i="2" s="1"/>
  <c r="J35" i="2" l="1"/>
  <c r="K35" i="2" s="1"/>
  <c r="F35" i="2"/>
  <c r="G35" i="2" s="1"/>
  <c r="B36" i="2"/>
  <c r="C35" i="2"/>
  <c r="H35" i="2"/>
  <c r="I35" i="2" s="1"/>
  <c r="D35" i="2"/>
  <c r="E35" i="2" s="1"/>
  <c r="J36" i="2" l="1"/>
  <c r="K36" i="2" s="1"/>
  <c r="F36" i="2"/>
  <c r="G36" i="2" s="1"/>
  <c r="H36" i="2"/>
  <c r="I36" i="2" s="1"/>
  <c r="D36" i="2"/>
  <c r="E36" i="2" s="1"/>
  <c r="B37" i="2"/>
  <c r="C36" i="2"/>
  <c r="J37" i="2" l="1"/>
  <c r="K37" i="2" s="1"/>
  <c r="F37" i="2"/>
  <c r="G37" i="2" s="1"/>
  <c r="C37" i="2"/>
  <c r="B38" i="2"/>
  <c r="H37" i="2"/>
  <c r="I37" i="2" s="1"/>
  <c r="D37" i="2"/>
  <c r="E37" i="2" s="1"/>
  <c r="J38" i="2" l="1"/>
  <c r="K38" i="2" s="1"/>
  <c r="F38" i="2"/>
  <c r="G38" i="2" s="1"/>
  <c r="C38" i="2"/>
  <c r="H38" i="2"/>
  <c r="I38" i="2" s="1"/>
  <c r="D38" i="2"/>
  <c r="E38" i="2" s="1"/>
  <c r="E11" i="1"/>
  <c r="F11" i="1"/>
  <c r="G11" i="1"/>
  <c r="I11" i="1"/>
  <c r="J11" i="1"/>
  <c r="K11" i="1"/>
  <c r="L11" i="1"/>
  <c r="M11" i="1"/>
  <c r="N11" i="1"/>
  <c r="E15" i="1"/>
  <c r="F15" i="1"/>
  <c r="G15" i="1"/>
  <c r="I15" i="1"/>
  <c r="J15" i="1"/>
  <c r="K15" i="1"/>
  <c r="L15" i="1"/>
  <c r="M15" i="1"/>
  <c r="N15" i="1"/>
  <c r="E19" i="1"/>
  <c r="F19" i="1"/>
  <c r="G19" i="1"/>
  <c r="H19" i="1"/>
  <c r="F24" i="1"/>
  <c r="G24" i="1"/>
  <c r="H24" i="1"/>
  <c r="L24" i="1"/>
  <c r="M24" i="1"/>
  <c r="O24" i="1"/>
  <c r="P24" i="1"/>
  <c r="Q24" i="1"/>
  <c r="R24" i="1"/>
  <c r="F29" i="1"/>
  <c r="G29" i="1"/>
  <c r="H29" i="1"/>
  <c r="L29" i="1"/>
  <c r="M29" i="1"/>
  <c r="O29" i="1"/>
  <c r="P29" i="1"/>
  <c r="Q29" i="1"/>
  <c r="R29" i="1"/>
  <c r="A35" i="1"/>
  <c r="B35" i="1"/>
  <c r="C35" i="1"/>
  <c r="D35" i="1"/>
  <c r="G35" i="1"/>
  <c r="H35" i="1"/>
  <c r="I35" i="1"/>
  <c r="J35" i="1"/>
</calcChain>
</file>

<file path=xl/sharedStrings.xml><?xml version="1.0" encoding="utf-8"?>
<sst xmlns="http://schemas.openxmlformats.org/spreadsheetml/2006/main" count="217" uniqueCount="89">
  <si>
    <t>t_k</t>
  </si>
  <si>
    <t>mm</t>
  </si>
  <si>
    <t>I_fz</t>
  </si>
  <si>
    <t>sigma_d</t>
  </si>
  <si>
    <t>A_fz</t>
  </si>
  <si>
    <t>lam_p</t>
  </si>
  <si>
    <t>-</t>
  </si>
  <si>
    <t>y_sf</t>
  </si>
  <si>
    <t>n</t>
  </si>
  <si>
    <t>rho</t>
  </si>
  <si>
    <t>z_sR</t>
  </si>
  <si>
    <t>b_ef1</t>
  </si>
  <si>
    <t>i_fz</t>
  </si>
  <si>
    <t>N_uD</t>
  </si>
  <si>
    <t>N</t>
  </si>
  <si>
    <t>c_fz</t>
  </si>
  <si>
    <t>sigma_u</t>
  </si>
  <si>
    <t>b_ef2</t>
  </si>
  <si>
    <t>N_ki,z</t>
  </si>
  <si>
    <t>lam_k</t>
  </si>
  <si>
    <t>c_ef</t>
  </si>
  <si>
    <t>A_R</t>
  </si>
  <si>
    <t>I_R</t>
  </si>
  <si>
    <t>c_R</t>
  </si>
  <si>
    <t>sigm_kiR</t>
  </si>
  <si>
    <t>lam_MR</t>
  </si>
  <si>
    <t>t_red</t>
  </si>
  <si>
    <t>Lambda</t>
  </si>
  <si>
    <t>Chi Stiffener T1-3 § 5531 (7)</t>
  </si>
  <si>
    <t>KSL a_0</t>
  </si>
  <si>
    <t>alpha =</t>
  </si>
  <si>
    <t>Phi</t>
  </si>
  <si>
    <t>Chi (a_0)</t>
  </si>
  <si>
    <t xml:space="preserve">KSL a </t>
  </si>
  <si>
    <t>KSL b</t>
  </si>
  <si>
    <t>KSL c</t>
  </si>
  <si>
    <t>Chi (c)</t>
  </si>
  <si>
    <t>Chi (b)</t>
  </si>
  <si>
    <t>Chi (a)</t>
  </si>
  <si>
    <t>chi_d</t>
  </si>
  <si>
    <t>Chi-a0</t>
  </si>
  <si>
    <t>Load bearing capacity for liner trays</t>
  </si>
  <si>
    <t>(against reference plane parallel to liner tray's bottom)</t>
  </si>
  <si>
    <t>small flange underneath</t>
  </si>
  <si>
    <t>small flange above</t>
  </si>
  <si>
    <t>both small flanges together</t>
  </si>
  <si>
    <t>Local buckling of the small flanges</t>
  </si>
  <si>
    <t>Cross section values of the small flanges (effective cross section)</t>
  </si>
  <si>
    <t>stiffener</t>
  </si>
  <si>
    <t>flange underneath</t>
  </si>
  <si>
    <t>flange above</t>
  </si>
  <si>
    <t>f.e. alpha = 60° = 1,047rad</t>
  </si>
  <si>
    <t>t_c</t>
  </si>
  <si>
    <t>[mm]</t>
  </si>
  <si>
    <t>[rad]</t>
  </si>
  <si>
    <t>(Effective cross-section for positive bending moment)</t>
  </si>
  <si>
    <t>Notice:</t>
  </si>
  <si>
    <t>Comparison of buckling curves</t>
  </si>
  <si>
    <r>
      <t>small flange underneath b</t>
    </r>
    <r>
      <rPr>
        <b/>
        <vertAlign val="subscript"/>
        <sz val="11"/>
        <rFont val="Calibri"/>
        <family val="2"/>
        <scheme val="minor"/>
      </rPr>
      <t>f1</t>
    </r>
    <r>
      <rPr>
        <b/>
        <sz val="11"/>
        <rFont val="Calibri"/>
        <family val="2"/>
        <scheme val="minor"/>
      </rPr>
      <t xml:space="preserve"> =</t>
    </r>
  </si>
  <si>
    <r>
      <t>Edge stiffener c</t>
    </r>
    <r>
      <rPr>
        <b/>
        <vertAlign val="subscript"/>
        <sz val="11"/>
        <rFont val="Calibri"/>
        <family val="2"/>
        <scheme val="minor"/>
      </rPr>
      <t>1</t>
    </r>
    <r>
      <rPr>
        <b/>
        <sz val="11"/>
        <rFont val="Calibri"/>
        <family val="2"/>
        <scheme val="minor"/>
      </rPr>
      <t xml:space="preserve"> =</t>
    </r>
  </si>
  <si>
    <r>
      <t>small flange above b</t>
    </r>
    <r>
      <rPr>
        <b/>
        <vertAlign val="subscript"/>
        <sz val="11"/>
        <rFont val="Calibri"/>
        <family val="2"/>
        <scheme val="minor"/>
      </rPr>
      <t>f2</t>
    </r>
    <r>
      <rPr>
        <b/>
        <sz val="11"/>
        <rFont val="Calibri"/>
        <family val="2"/>
        <scheme val="minor"/>
      </rPr>
      <t xml:space="preserve"> =</t>
    </r>
  </si>
  <si>
    <r>
      <t>Edge stiffener c</t>
    </r>
    <r>
      <rPr>
        <b/>
        <vertAlign val="subscript"/>
        <sz val="11"/>
        <rFont val="Calibri"/>
        <family val="2"/>
        <scheme val="minor"/>
      </rPr>
      <t>2</t>
    </r>
    <r>
      <rPr>
        <b/>
        <sz val="11"/>
        <rFont val="Calibri"/>
        <family val="2"/>
        <scheme val="minor"/>
      </rPr>
      <t xml:space="preserve"> =</t>
    </r>
  </si>
  <si>
    <t>c_fz = E*t^3/[2*(1-my^2)*H^2*(2*H+3*B)] 
         = 115385*t^3/[H^2*(2*H+3*B)]</t>
  </si>
  <si>
    <r>
      <t>[N/mm</t>
    </r>
    <r>
      <rPr>
        <vertAlign val="superscript"/>
        <sz val="11"/>
        <rFont val="Calibri"/>
        <family val="2"/>
        <scheme val="minor"/>
      </rPr>
      <t>2</t>
    </r>
    <r>
      <rPr>
        <sz val="11"/>
        <rFont val="Calibri"/>
        <family val="2"/>
        <scheme val="minor"/>
      </rPr>
      <t>]</t>
    </r>
  </si>
  <si>
    <r>
      <t>N/mm</t>
    </r>
    <r>
      <rPr>
        <vertAlign val="superscript"/>
        <sz val="11"/>
        <rFont val="Calibri"/>
        <family val="2"/>
        <scheme val="minor"/>
      </rPr>
      <t>2</t>
    </r>
  </si>
  <si>
    <r>
      <t>mm</t>
    </r>
    <r>
      <rPr>
        <vertAlign val="superscript"/>
        <sz val="11"/>
        <rFont val="Calibri"/>
        <family val="2"/>
        <scheme val="minor"/>
      </rPr>
      <t>2</t>
    </r>
  </si>
  <si>
    <r>
      <t>mm</t>
    </r>
    <r>
      <rPr>
        <vertAlign val="superscript"/>
        <sz val="11"/>
        <rFont val="Calibri"/>
        <family val="2"/>
        <scheme val="minor"/>
      </rPr>
      <t>4</t>
    </r>
  </si>
  <si>
    <r>
      <t>steel core thickness t</t>
    </r>
    <r>
      <rPr>
        <vertAlign val="subscript"/>
        <sz val="11"/>
        <rFont val="Calibri"/>
        <family val="2"/>
        <scheme val="minor"/>
      </rPr>
      <t>c</t>
    </r>
  </si>
  <si>
    <r>
      <t>small flange underneath b</t>
    </r>
    <r>
      <rPr>
        <vertAlign val="subscript"/>
        <sz val="11"/>
        <rFont val="Calibri"/>
        <family val="2"/>
        <scheme val="minor"/>
      </rPr>
      <t>f1</t>
    </r>
  </si>
  <si>
    <r>
      <t>Edge stiffener c</t>
    </r>
    <r>
      <rPr>
        <vertAlign val="subscript"/>
        <sz val="11"/>
        <rFont val="Calibri"/>
        <family val="2"/>
        <scheme val="minor"/>
      </rPr>
      <t>1</t>
    </r>
  </si>
  <si>
    <r>
      <t>small flange above b</t>
    </r>
    <r>
      <rPr>
        <vertAlign val="subscript"/>
        <sz val="11"/>
        <rFont val="Calibri"/>
        <family val="2"/>
        <scheme val="minor"/>
      </rPr>
      <t>f2</t>
    </r>
  </si>
  <si>
    <r>
      <t>Edge stiffener c</t>
    </r>
    <r>
      <rPr>
        <vertAlign val="subscript"/>
        <sz val="11"/>
        <rFont val="Calibri"/>
        <family val="2"/>
        <scheme val="minor"/>
      </rPr>
      <t>2</t>
    </r>
  </si>
  <si>
    <r>
      <t>fixing distance s</t>
    </r>
    <r>
      <rPr>
        <vertAlign val="subscript"/>
        <sz val="11"/>
        <rFont val="Calibri"/>
        <family val="2"/>
        <scheme val="minor"/>
      </rPr>
      <t>1</t>
    </r>
  </si>
  <si>
    <t xml:space="preserve">Height of liner tray H </t>
  </si>
  <si>
    <t>Width of liner tray B</t>
  </si>
  <si>
    <r>
      <t>yield strength f</t>
    </r>
    <r>
      <rPr>
        <vertAlign val="subscript"/>
        <sz val="11"/>
        <rFont val="Calibri"/>
        <family val="2"/>
        <scheme val="minor"/>
      </rPr>
      <t>yb</t>
    </r>
  </si>
  <si>
    <t>Slope of edge stiffener a</t>
  </si>
  <si>
    <t>s_1</t>
  </si>
  <si>
    <t>These rows must be entered in advance.</t>
  </si>
  <si>
    <t>For the compressive strength, sigma_d is entered by the user in the course of iteration. Iteration is done as long as these values comply with the results in the green cells. 1 plate thickness, however, means 2 cells, one plate thickness at the large and one at the small compression flange.</t>
  </si>
  <si>
    <t>sigma_u is the result of an iteration loop. After completion of the iteration it must comply with the values of the entered value for the compressive strength  sigma_d.</t>
  </si>
  <si>
    <t xml:space="preserve">Important: After each input, sigma_d must be calculated several times through pressing the button F9 until sigma_u is stable. Then, this sigma_u-value can be used as input sigma_d for the next iteration step. </t>
  </si>
  <si>
    <t>flange geometry:</t>
  </si>
  <si>
    <r>
      <rPr>
        <b/>
        <sz val="11"/>
        <rFont val="Calibri"/>
        <family val="2"/>
        <scheme val="minor"/>
      </rPr>
      <t>Example:</t>
    </r>
    <r>
      <rPr>
        <sz val="11"/>
        <rFont val="Calibri"/>
        <family val="2"/>
        <scheme val="minor"/>
      </rPr>
      <t xml:space="preserve"> The calculation shall be made for a cassette with the plate thickness 0.75 mm. Rows 11 and 15 (absorbable compressive strengths and compressive stresses sigma_u of the elastically embedded compression members with a buckling length s_1), row 19 (absorbable compressive strength for the cassette flanges together), rows 24 and 29 (effective cross-sections of the small and large compression flange of the cassette) and row 35 (gross cross-sections values of the compression chords) belong to this cassette.     </t>
    </r>
  </si>
  <si>
    <t>Entry of a stress in cell B24 repeatedly press the button F9 and wait for the stable results in cell M11.</t>
  </si>
  <si>
    <t>Entry value of M11 at B24, repeatedly press the button F9 and wait for the stable results in cell M11.                      etc., etc. until the numbers in B24 and M11 comply. Cell N11 includes the iterated compressive bearing load of the small cassette flange.</t>
  </si>
  <si>
    <t>Repeat the same procedure for the large cassette compression flange. This concerns the stresses in the cells B29 and  M15. After the iterated compressive bearing load of the large cassette flange is visible in cell N15.</t>
  </si>
  <si>
    <t xml:space="preserve">The iterated absorbable compressive bearing load of both cassette chords together is given in cell G19. It applies to the fastener distance s1 entered in cell O1. </t>
  </si>
  <si>
    <t xml:space="preserve">Enter new fastener distanced s1 and repeated calculations for both cassette flanges up to convergence. The final result is the compressive bearing load of both small cassette chords in cell G19 again. The ratio of the compressive bearing loads of both investigated distances s1 is the reduction factor for the positive bending moments of the cassette (field moment wind pressure, support moments wind suction).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</si>
</sst>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0"/>
    <numFmt numFmtId="166" formatCode="0.0000"/>
    <numFmt numFmtId="167" formatCode="0.0"/>
  </numFmts>
  <fonts count="14" x14ac:knownFonts="1">
    <font>
      <sz val="12"/>
      <name val="Arial"/>
    </font>
    <font>
      <sz val="12"/>
      <name val="Arial"/>
      <family val="2"/>
    </font>
    <font>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sz val="11"/>
      <name val="Calibri"/>
      <family val="2"/>
      <scheme val="minor"/>
    </font>
    <font>
      <vertAlign val="subscript"/>
      <sz val="11"/>
      <name val="Calibri"/>
      <family val="2"/>
      <scheme val="minor"/>
    </font>
    <font>
      <b/>
      <sz val="12"/>
      <color rgb="FFFF0000"/>
      <name val="Calibri"/>
      <family val="2"/>
      <scheme val="minor"/>
    </font>
    <font>
      <b/>
      <u/>
      <sz val="11"/>
      <name val="Calibri"/>
      <family val="2"/>
      <scheme val="minor"/>
    </font>
    <font>
      <b/>
      <sz val="11"/>
      <name val="Calibri"/>
      <family val="2"/>
      <scheme val="minor"/>
    </font>
    <font>
      <b/>
      <vertAlign val="subscript"/>
      <sz val="11"/>
      <name val="Calibri"/>
      <family val="2"/>
      <scheme val="minor"/>
    </font>
    <font>
      <vertAlign val="superscript"/>
      <sz val="11"/>
      <name val="Calibri"/>
      <family val="2"/>
      <scheme val="minor"/>
    </font>
    <font>
      <u/>
      <sz val="11"/>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F0000"/>
        <bgColor indexed="64"/>
      </patternFill>
    </fill>
    <fill>
      <patternFill patternType="solid">
        <fgColor theme="0"/>
        <bgColor indexed="64"/>
      </patternFill>
    </fill>
  </fills>
  <borders count="36">
    <border>
      <left/>
      <right/>
      <top/>
      <bottom/>
      <diagonal/>
    </border>
    <border>
      <left style="thin">
        <color indexed="8"/>
      </left>
      <right/>
      <top style="thin">
        <color indexed="8"/>
      </top>
      <bottom/>
      <diagonal/>
    </border>
    <border>
      <left style="thin">
        <color indexed="8"/>
      </left>
      <right/>
      <top/>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rgb="FF7F7F7F"/>
      </left>
      <right style="thin">
        <color rgb="FF7F7F7F"/>
      </right>
      <top style="thin">
        <color indexed="64"/>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bottom/>
      <diagonal/>
    </border>
    <border>
      <left/>
      <right style="thin">
        <color indexed="8"/>
      </right>
      <top style="thin">
        <color indexed="64"/>
      </top>
      <bottom style="thin">
        <color indexed="8"/>
      </bottom>
      <diagonal/>
    </border>
  </borders>
  <cellStyleXfs count="4">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4" applyNumberFormat="0" applyAlignment="0" applyProtection="0"/>
  </cellStyleXfs>
  <cellXfs count="113">
    <xf numFmtId="0" fontId="0" fillId="0" borderId="0" xfId="0"/>
    <xf numFmtId="0" fontId="1" fillId="0" borderId="0" xfId="0" applyNumberFormat="1" applyFont="1" applyAlignment="1"/>
    <xf numFmtId="0" fontId="2" fillId="0" borderId="0" xfId="0" applyNumberFormat="1" applyFont="1" applyAlignment="1"/>
    <xf numFmtId="164" fontId="1" fillId="0" borderId="0" xfId="0" applyNumberFormat="1" applyFont="1" applyAlignment="1"/>
    <xf numFmtId="0" fontId="1" fillId="0" borderId="0" xfId="0" applyNumberFormat="1" applyFont="1" applyAlignment="1">
      <alignment vertical="center" wrapText="1"/>
    </xf>
    <xf numFmtId="164" fontId="0" fillId="0" borderId="0" xfId="0" applyNumberFormat="1"/>
    <xf numFmtId="2" fontId="5" fillId="6" borderId="17" xfId="3" applyNumberFormat="1" applyFont="1" applyFill="1" applyBorder="1" applyAlignment="1">
      <alignment horizontal="center" vertical="center"/>
    </xf>
    <xf numFmtId="0" fontId="5" fillId="5" borderId="6" xfId="3" applyNumberFormat="1" applyFont="1" applyFill="1" applyBorder="1" applyAlignment="1">
      <alignment horizontal="center"/>
    </xf>
    <xf numFmtId="0" fontId="4" fillId="3" borderId="6" xfId="2" applyNumberFormat="1" applyFont="1" applyBorder="1" applyAlignment="1">
      <alignment horizontal="center"/>
    </xf>
    <xf numFmtId="0" fontId="3" fillId="2" borderId="6" xfId="1" applyNumberFormat="1" applyFont="1" applyBorder="1" applyAlignment="1">
      <alignment horizontal="center"/>
    </xf>
    <xf numFmtId="0" fontId="9" fillId="6" borderId="0" xfId="0" applyNumberFormat="1" applyFont="1" applyFill="1" applyAlignment="1">
      <alignment horizontal="left" vertical="center"/>
    </xf>
    <xf numFmtId="0" fontId="10" fillId="6" borderId="0" xfId="0" applyNumberFormat="1" applyFont="1" applyFill="1" applyAlignment="1">
      <alignment horizontal="center" vertical="center"/>
    </xf>
    <xf numFmtId="0" fontId="6" fillId="6" borderId="0" xfId="0" applyNumberFormat="1" applyFont="1" applyFill="1" applyAlignment="1">
      <alignment horizontal="center" vertical="center"/>
    </xf>
    <xf numFmtId="0" fontId="6" fillId="6" borderId="0" xfId="0" applyNumberFormat="1" applyFont="1" applyFill="1" applyAlignment="1">
      <alignment horizontal="left" vertical="center"/>
    </xf>
    <xf numFmtId="0" fontId="6" fillId="6" borderId="27" xfId="0" applyNumberFormat="1" applyFont="1" applyFill="1" applyBorder="1" applyAlignment="1">
      <alignment horizontal="center" vertical="center"/>
    </xf>
    <xf numFmtId="0" fontId="6" fillId="6" borderId="0" xfId="0" applyNumberFormat="1" applyFont="1" applyFill="1" applyBorder="1" applyAlignment="1">
      <alignment horizontal="center" vertical="center"/>
    </xf>
    <xf numFmtId="0" fontId="10" fillId="6" borderId="0" xfId="0" applyNumberFormat="1" applyFont="1" applyFill="1" applyAlignment="1">
      <alignment horizontal="left" vertical="center"/>
    </xf>
    <xf numFmtId="0" fontId="6" fillId="6" borderId="1" xfId="0" applyNumberFormat="1" applyFont="1" applyFill="1" applyBorder="1" applyAlignment="1">
      <alignment horizontal="center" vertical="center"/>
    </xf>
    <xf numFmtId="0" fontId="6" fillId="6" borderId="2" xfId="0" applyNumberFormat="1" applyFont="1" applyFill="1" applyBorder="1" applyAlignment="1">
      <alignment horizontal="center" vertical="center"/>
    </xf>
    <xf numFmtId="0" fontId="6" fillId="6" borderId="16" xfId="0" applyNumberFormat="1" applyFont="1" applyFill="1" applyBorder="1" applyAlignment="1">
      <alignment horizontal="center" vertical="center"/>
    </xf>
    <xf numFmtId="1" fontId="6" fillId="6" borderId="16" xfId="0" applyNumberFormat="1" applyFont="1" applyFill="1" applyBorder="1" applyAlignment="1">
      <alignment horizontal="center" vertical="center"/>
    </xf>
    <xf numFmtId="2" fontId="6" fillId="6" borderId="16" xfId="0" applyNumberFormat="1" applyFont="1" applyFill="1" applyBorder="1" applyAlignment="1">
      <alignment horizontal="center" vertical="center"/>
    </xf>
    <xf numFmtId="165" fontId="6" fillId="6" borderId="16" xfId="0" applyNumberFormat="1" applyFont="1" applyFill="1" applyBorder="1" applyAlignment="1">
      <alignment horizontal="center" vertical="center"/>
    </xf>
    <xf numFmtId="166" fontId="6" fillId="6" borderId="16" xfId="0" applyNumberFormat="1" applyFont="1" applyFill="1" applyBorder="1" applyAlignment="1">
      <alignment horizontal="center" vertical="center"/>
    </xf>
    <xf numFmtId="1" fontId="6" fillId="6" borderId="15" xfId="0" applyNumberFormat="1" applyFont="1" applyFill="1" applyBorder="1" applyAlignment="1">
      <alignment horizontal="center" vertical="center"/>
    </xf>
    <xf numFmtId="0" fontId="6" fillId="6" borderId="3" xfId="0" applyNumberFormat="1" applyFont="1" applyFill="1" applyBorder="1" applyAlignment="1">
      <alignment horizontal="center" vertical="center"/>
    </xf>
    <xf numFmtId="2" fontId="6" fillId="6" borderId="0" xfId="0" applyNumberFormat="1" applyFont="1" applyFill="1" applyAlignment="1">
      <alignment horizontal="center" vertical="center"/>
    </xf>
    <xf numFmtId="1" fontId="6" fillId="6" borderId="0" xfId="0" applyNumberFormat="1" applyFont="1" applyFill="1" applyAlignment="1">
      <alignment horizontal="center" vertical="center"/>
    </xf>
    <xf numFmtId="165" fontId="6" fillId="6" borderId="0" xfId="0" applyNumberFormat="1" applyFont="1" applyFill="1" applyAlignment="1">
      <alignment horizontal="center" vertical="center"/>
    </xf>
    <xf numFmtId="166" fontId="6" fillId="6" borderId="0" xfId="0" applyNumberFormat="1" applyFont="1" applyFill="1" applyAlignment="1">
      <alignment horizontal="center" vertical="center"/>
    </xf>
    <xf numFmtId="167" fontId="6" fillId="6" borderId="0" xfId="0" applyNumberFormat="1" applyFont="1" applyFill="1" applyAlignment="1">
      <alignment horizontal="center" vertical="center"/>
    </xf>
    <xf numFmtId="0" fontId="6" fillId="6" borderId="12" xfId="0" applyNumberFormat="1" applyFont="1" applyFill="1" applyBorder="1" applyAlignment="1">
      <alignment horizontal="center" vertical="center"/>
    </xf>
    <xf numFmtId="1" fontId="6" fillId="6" borderId="2" xfId="0" applyNumberFormat="1" applyFont="1" applyFill="1" applyBorder="1" applyAlignment="1">
      <alignment horizontal="center" vertical="center"/>
    </xf>
    <xf numFmtId="0" fontId="6" fillId="6" borderId="13" xfId="0" applyNumberFormat="1" applyFont="1" applyFill="1" applyBorder="1" applyAlignment="1">
      <alignment horizontal="center" vertical="center"/>
    </xf>
    <xf numFmtId="0" fontId="6" fillId="6" borderId="14" xfId="0" applyNumberFormat="1" applyFont="1" applyFill="1" applyBorder="1" applyAlignment="1">
      <alignment horizontal="center" vertical="center"/>
    </xf>
    <xf numFmtId="1" fontId="10" fillId="6" borderId="11" xfId="0" applyNumberFormat="1" applyFont="1" applyFill="1" applyBorder="1" applyAlignment="1">
      <alignment horizontal="center" vertical="center"/>
    </xf>
    <xf numFmtId="0" fontId="10" fillId="6" borderId="7" xfId="0" applyNumberFormat="1" applyFont="1" applyFill="1" applyBorder="1" applyAlignment="1">
      <alignment horizontal="left" vertical="center"/>
    </xf>
    <xf numFmtId="0" fontId="6" fillId="6" borderId="8" xfId="0" applyNumberFormat="1" applyFont="1" applyFill="1" applyBorder="1" applyAlignment="1">
      <alignment horizontal="center" vertical="center"/>
    </xf>
    <xf numFmtId="0" fontId="10" fillId="6" borderId="9" xfId="0" applyNumberFormat="1" applyFont="1" applyFill="1" applyBorder="1" applyAlignment="1">
      <alignment horizontal="center" vertical="center"/>
    </xf>
    <xf numFmtId="0" fontId="10" fillId="6" borderId="8" xfId="0" applyNumberFormat="1" applyFont="1" applyFill="1" applyBorder="1" applyAlignment="1">
      <alignment horizontal="center" vertical="center"/>
    </xf>
    <xf numFmtId="0" fontId="6" fillId="6" borderId="9" xfId="0" applyNumberFormat="1" applyFont="1" applyFill="1" applyBorder="1" applyAlignment="1">
      <alignment horizontal="center" vertical="center"/>
    </xf>
    <xf numFmtId="0" fontId="6" fillId="6" borderId="6" xfId="0" applyNumberFormat="1" applyFont="1" applyFill="1" applyBorder="1" applyAlignment="1">
      <alignment horizontal="center" vertical="center"/>
    </xf>
    <xf numFmtId="166" fontId="6" fillId="6" borderId="9" xfId="0" applyNumberFormat="1" applyFont="1" applyFill="1" applyBorder="1" applyAlignment="1">
      <alignment horizontal="center" vertical="center"/>
    </xf>
    <xf numFmtId="2" fontId="6" fillId="6" borderId="9" xfId="0" applyNumberFormat="1" applyFont="1" applyFill="1" applyBorder="1" applyAlignment="1">
      <alignment horizontal="center" vertical="center"/>
    </xf>
    <xf numFmtId="167" fontId="6" fillId="6" borderId="9" xfId="0" applyNumberFormat="1" applyFont="1" applyFill="1" applyBorder="1" applyAlignment="1">
      <alignment horizontal="center" vertical="center"/>
    </xf>
    <xf numFmtId="164" fontId="6" fillId="6" borderId="10" xfId="0" applyNumberFormat="1" applyFont="1" applyFill="1" applyBorder="1" applyAlignment="1">
      <alignment horizontal="center" vertical="center"/>
    </xf>
    <xf numFmtId="167" fontId="6" fillId="6" borderId="0" xfId="0" applyNumberFormat="1" applyFont="1" applyFill="1" applyBorder="1" applyAlignment="1">
      <alignment horizontal="center" vertical="center"/>
    </xf>
    <xf numFmtId="166" fontId="6" fillId="6" borderId="0" xfId="0" applyNumberFormat="1" applyFont="1" applyFill="1" applyBorder="1" applyAlignment="1">
      <alignment horizontal="center" vertical="center"/>
    </xf>
    <xf numFmtId="2" fontId="6" fillId="6" borderId="0" xfId="0" applyNumberFormat="1" applyFont="1" applyFill="1" applyBorder="1" applyAlignment="1">
      <alignment horizontal="center" vertical="center"/>
    </xf>
    <xf numFmtId="164" fontId="6" fillId="6" borderId="0" xfId="0" applyNumberFormat="1" applyFont="1" applyFill="1" applyBorder="1" applyAlignment="1">
      <alignment horizontal="center" vertical="center"/>
    </xf>
    <xf numFmtId="1" fontId="6" fillId="6" borderId="0" xfId="0" applyNumberFormat="1" applyFont="1" applyFill="1" applyBorder="1" applyAlignment="1">
      <alignment horizontal="center" vertical="center"/>
    </xf>
    <xf numFmtId="167" fontId="6" fillId="6" borderId="2" xfId="0" applyNumberFormat="1" applyFont="1" applyFill="1" applyBorder="1" applyAlignment="1">
      <alignment horizontal="center" vertical="center"/>
    </xf>
    <xf numFmtId="166" fontId="6" fillId="6" borderId="2" xfId="0" applyNumberFormat="1" applyFont="1" applyFill="1" applyBorder="1" applyAlignment="1">
      <alignment horizontal="center" vertical="center"/>
    </xf>
    <xf numFmtId="0" fontId="10" fillId="6" borderId="10" xfId="0" applyNumberFormat="1" applyFont="1" applyFill="1" applyBorder="1" applyAlignment="1">
      <alignment horizontal="center" vertical="center"/>
    </xf>
    <xf numFmtId="164" fontId="6" fillId="6" borderId="0" xfId="0" applyNumberFormat="1" applyFont="1" applyFill="1" applyAlignment="1">
      <alignment horizontal="center" vertical="center"/>
    </xf>
    <xf numFmtId="0" fontId="6" fillId="6" borderId="1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0" xfId="0" applyNumberFormat="1" applyFont="1" applyFill="1" applyBorder="1" applyAlignment="1">
      <alignment horizontal="right" vertical="center"/>
    </xf>
    <xf numFmtId="0" fontId="6" fillId="6" borderId="21" xfId="0" applyNumberFormat="1" applyFont="1" applyFill="1" applyBorder="1" applyAlignment="1">
      <alignment horizontal="center" vertical="center"/>
    </xf>
    <xf numFmtId="0" fontId="6" fillId="6" borderId="23" xfId="0" applyNumberFormat="1" applyFont="1" applyFill="1" applyBorder="1" applyAlignment="1">
      <alignment horizontal="center" vertical="center"/>
    </xf>
    <xf numFmtId="0" fontId="6" fillId="6" borderId="18" xfId="0" applyNumberFormat="1" applyFont="1" applyFill="1" applyBorder="1" applyAlignment="1">
      <alignment horizontal="center" vertical="center"/>
    </xf>
    <xf numFmtId="0" fontId="6" fillId="6" borderId="6" xfId="3" applyNumberFormat="1" applyFont="1" applyFill="1" applyBorder="1" applyAlignment="1">
      <alignment horizontal="center" vertical="center"/>
    </xf>
    <xf numFmtId="0" fontId="6" fillId="6" borderId="7" xfId="0" applyNumberFormat="1" applyFont="1" applyFill="1" applyBorder="1" applyAlignment="1">
      <alignment horizontal="center" vertical="center"/>
    </xf>
    <xf numFmtId="1" fontId="6" fillId="6" borderId="9" xfId="0" applyNumberFormat="1" applyFont="1" applyFill="1" applyBorder="1" applyAlignment="1">
      <alignment horizontal="center" vertical="center"/>
    </xf>
    <xf numFmtId="167" fontId="6" fillId="6" borderId="28" xfId="0" applyNumberFormat="1" applyFont="1" applyFill="1" applyBorder="1" applyAlignment="1">
      <alignment horizontal="center" vertical="center"/>
    </xf>
    <xf numFmtId="0" fontId="6" fillId="6" borderId="31" xfId="0" applyNumberFormat="1" applyFont="1" applyFill="1" applyBorder="1" applyAlignment="1">
      <alignment horizontal="center" vertical="center"/>
    </xf>
    <xf numFmtId="0" fontId="6" fillId="6" borderId="32" xfId="0" applyNumberFormat="1" applyFont="1" applyFill="1" applyBorder="1" applyAlignment="1">
      <alignment horizontal="center" vertical="center"/>
    </xf>
    <xf numFmtId="0" fontId="6" fillId="6" borderId="33" xfId="0" applyNumberFormat="1" applyFont="1" applyFill="1" applyBorder="1" applyAlignment="1">
      <alignment horizontal="center" vertical="center"/>
    </xf>
    <xf numFmtId="164" fontId="6" fillId="6" borderId="34" xfId="0" applyNumberFormat="1" applyFont="1" applyFill="1" applyBorder="1" applyAlignment="1">
      <alignment horizontal="center" vertical="center"/>
    </xf>
    <xf numFmtId="1" fontId="6" fillId="6" borderId="23" xfId="0" applyNumberFormat="1" applyFont="1" applyFill="1" applyBorder="1" applyAlignment="1">
      <alignment horizontal="center" vertical="center"/>
    </xf>
    <xf numFmtId="2" fontId="6" fillId="6" borderId="32" xfId="0" applyNumberFormat="1" applyFont="1" applyFill="1" applyBorder="1" applyAlignment="1">
      <alignment horizontal="center" vertical="center"/>
    </xf>
    <xf numFmtId="164" fontId="6" fillId="6" borderId="33"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0" fontId="2" fillId="6" borderId="0" xfId="0" applyFont="1" applyFill="1"/>
    <xf numFmtId="0" fontId="13" fillId="6" borderId="0" xfId="0" applyNumberFormat="1" applyFont="1" applyFill="1" applyAlignment="1">
      <alignment horizontal="center" vertical="center"/>
    </xf>
    <xf numFmtId="1" fontId="6" fillId="6" borderId="35" xfId="0" applyNumberFormat="1" applyFont="1" applyFill="1" applyBorder="1" applyAlignment="1">
      <alignment horizontal="center" vertical="center"/>
    </xf>
    <xf numFmtId="0" fontId="6" fillId="5" borderId="0" xfId="0" applyNumberFormat="1" applyFont="1" applyFill="1" applyBorder="1" applyAlignment="1" applyProtection="1">
      <alignment horizontal="center" vertical="center"/>
      <protection locked="0"/>
    </xf>
    <xf numFmtId="0" fontId="6" fillId="5" borderId="26" xfId="3" applyNumberFormat="1" applyFont="1" applyFill="1" applyBorder="1" applyAlignment="1" applyProtection="1">
      <alignment horizontal="center" vertical="center"/>
      <protection locked="0"/>
    </xf>
    <xf numFmtId="0" fontId="6" fillId="5" borderId="0" xfId="3" applyNumberFormat="1" applyFont="1" applyFill="1" applyBorder="1" applyAlignment="1" applyProtection="1">
      <alignment horizontal="center" vertical="center"/>
      <protection locked="0"/>
    </xf>
    <xf numFmtId="164" fontId="6" fillId="5" borderId="0" xfId="3" applyNumberFormat="1" applyFont="1" applyFill="1" applyBorder="1" applyAlignment="1" applyProtection="1">
      <alignment horizontal="center" vertical="center"/>
      <protection locked="0"/>
    </xf>
    <xf numFmtId="0" fontId="6" fillId="3" borderId="8" xfId="2" applyNumberFormat="1" applyFont="1" applyBorder="1" applyAlignment="1" applyProtection="1">
      <alignment horizontal="center"/>
      <protection locked="0"/>
    </xf>
    <xf numFmtId="167" fontId="6" fillId="2" borderId="6" xfId="1" applyNumberFormat="1" applyFont="1" applyBorder="1" applyAlignment="1" applyProtection="1">
      <alignment horizontal="center" vertical="center"/>
      <protection locked="0"/>
    </xf>
    <xf numFmtId="167" fontId="6" fillId="2" borderId="16" xfId="1" applyNumberFormat="1" applyFont="1" applyBorder="1" applyAlignment="1" applyProtection="1">
      <alignment horizontal="center" vertical="center"/>
      <protection locked="0"/>
    </xf>
    <xf numFmtId="0" fontId="8" fillId="6" borderId="7" xfId="0" applyNumberFormat="1" applyFont="1" applyFill="1" applyBorder="1" applyAlignment="1">
      <alignment horizontal="center" vertical="center" wrapText="1"/>
    </xf>
    <xf numFmtId="0" fontId="8" fillId="6" borderId="8" xfId="0" applyNumberFormat="1" applyFont="1" applyFill="1" applyBorder="1" applyAlignment="1">
      <alignment horizontal="center" vertical="center" wrapText="1"/>
    </xf>
    <xf numFmtId="0" fontId="8" fillId="6" borderId="28" xfId="0" applyNumberFormat="1" applyFont="1" applyFill="1" applyBorder="1" applyAlignment="1">
      <alignment horizontal="center" vertical="center" wrapText="1"/>
    </xf>
    <xf numFmtId="0" fontId="6" fillId="6" borderId="18" xfId="0" applyNumberFormat="1" applyFont="1" applyFill="1" applyBorder="1" applyAlignment="1">
      <alignment horizontal="left" vertical="center" wrapText="1"/>
    </xf>
    <xf numFmtId="0" fontId="6" fillId="6" borderId="19" xfId="0" applyNumberFormat="1" applyFont="1" applyFill="1" applyBorder="1" applyAlignment="1">
      <alignment horizontal="left" vertical="center" wrapText="1"/>
    </xf>
    <xf numFmtId="0" fontId="6" fillId="6" borderId="20" xfId="0" applyNumberFormat="1" applyFont="1" applyFill="1" applyBorder="1" applyAlignment="1">
      <alignment horizontal="left" vertical="center" wrapText="1"/>
    </xf>
    <xf numFmtId="49" fontId="6" fillId="6" borderId="21" xfId="0" applyNumberFormat="1" applyFont="1" applyFill="1" applyBorder="1" applyAlignment="1">
      <alignment horizontal="left" vertical="center" wrapText="1"/>
    </xf>
    <xf numFmtId="49" fontId="6" fillId="6" borderId="0" xfId="0" applyNumberFormat="1" applyFont="1" applyFill="1" applyBorder="1" applyAlignment="1">
      <alignment horizontal="left" vertical="center" wrapText="1"/>
    </xf>
    <xf numFmtId="49" fontId="6" fillId="6" borderId="22" xfId="0" applyNumberFormat="1" applyFont="1" applyFill="1" applyBorder="1" applyAlignment="1">
      <alignment horizontal="left" vertical="center" wrapText="1"/>
    </xf>
    <xf numFmtId="0" fontId="6" fillId="6" borderId="21" xfId="0" applyNumberFormat="1" applyFont="1" applyFill="1" applyBorder="1" applyAlignment="1">
      <alignment horizontal="left" vertical="center" wrapText="1"/>
    </xf>
    <xf numFmtId="0" fontId="6" fillId="6" borderId="0" xfId="0" applyNumberFormat="1" applyFont="1" applyFill="1" applyBorder="1" applyAlignment="1">
      <alignment horizontal="left" vertical="center" wrapText="1"/>
    </xf>
    <xf numFmtId="0" fontId="6" fillId="6" borderId="22" xfId="0" applyNumberFormat="1" applyFont="1" applyFill="1" applyBorder="1" applyAlignment="1">
      <alignment horizontal="left" vertical="center" wrapText="1"/>
    </xf>
    <xf numFmtId="0" fontId="6" fillId="6" borderId="23" xfId="0" applyNumberFormat="1" applyFont="1" applyFill="1" applyBorder="1" applyAlignment="1">
      <alignment horizontal="left" vertical="center" wrapText="1"/>
    </xf>
    <xf numFmtId="0" fontId="6" fillId="6" borderId="5" xfId="0" applyNumberFormat="1" applyFont="1" applyFill="1" applyBorder="1" applyAlignment="1">
      <alignment horizontal="left" vertical="center" wrapText="1"/>
    </xf>
    <xf numFmtId="0" fontId="6" fillId="6" borderId="24" xfId="0" applyNumberFormat="1" applyFont="1" applyFill="1" applyBorder="1" applyAlignment="1">
      <alignment horizontal="left" vertical="center" wrapText="1"/>
    </xf>
    <xf numFmtId="0" fontId="6" fillId="6" borderId="0" xfId="0" applyNumberFormat="1" applyFont="1" applyFill="1" applyBorder="1" applyAlignment="1">
      <alignment horizontal="right" vertical="center"/>
    </xf>
    <xf numFmtId="164" fontId="10" fillId="6" borderId="7" xfId="0" applyNumberFormat="1" applyFont="1" applyFill="1" applyBorder="1" applyAlignment="1">
      <alignment horizontal="center" vertical="center"/>
    </xf>
    <xf numFmtId="164" fontId="10" fillId="6" borderId="8" xfId="0" applyNumberFormat="1" applyFont="1" applyFill="1" applyBorder="1" applyAlignment="1">
      <alignment horizontal="center" vertical="center"/>
    </xf>
    <xf numFmtId="164" fontId="10" fillId="6" borderId="30" xfId="0" applyNumberFormat="1" applyFont="1" applyFill="1" applyBorder="1" applyAlignment="1">
      <alignment horizontal="center" vertical="center"/>
    </xf>
    <xf numFmtId="0" fontId="10" fillId="6" borderId="7" xfId="0" applyNumberFormat="1" applyFont="1" applyFill="1" applyBorder="1" applyAlignment="1">
      <alignment horizontal="center" vertical="center"/>
    </xf>
    <xf numFmtId="0" fontId="10" fillId="6" borderId="8" xfId="0" applyNumberFormat="1" applyFont="1" applyFill="1" applyBorder="1" applyAlignment="1">
      <alignment horizontal="center" vertical="center"/>
    </xf>
    <xf numFmtId="0" fontId="10" fillId="6" borderId="30" xfId="0" applyNumberFormat="1" applyFont="1" applyFill="1" applyBorder="1" applyAlignment="1">
      <alignment horizontal="center" vertical="center"/>
    </xf>
    <xf numFmtId="0" fontId="6" fillId="6" borderId="25" xfId="0" applyNumberFormat="1" applyFont="1" applyFill="1" applyBorder="1" applyAlignment="1">
      <alignment horizontal="right" vertical="center"/>
    </xf>
    <xf numFmtId="0" fontId="6" fillId="6" borderId="26" xfId="0" applyNumberFormat="1" applyFont="1" applyFill="1" applyBorder="1" applyAlignment="1">
      <alignment horizontal="right" vertical="center"/>
    </xf>
    <xf numFmtId="0" fontId="6" fillId="6" borderId="0" xfId="0" applyNumberFormat="1" applyFont="1" applyFill="1" applyBorder="1" applyAlignment="1">
      <alignment horizontal="left" vertical="top" wrapText="1"/>
    </xf>
    <xf numFmtId="0" fontId="6" fillId="6" borderId="0" xfId="0" applyNumberFormat="1" applyFont="1" applyFill="1" applyAlignment="1">
      <alignment horizontal="center" vertical="center" wrapText="1"/>
    </xf>
    <xf numFmtId="0" fontId="6" fillId="6" borderId="7" xfId="0" applyNumberFormat="1" applyFont="1" applyFill="1" applyBorder="1" applyAlignment="1">
      <alignment horizontal="left" vertical="center" wrapText="1"/>
    </xf>
    <xf numFmtId="0" fontId="6" fillId="6" borderId="8" xfId="0" applyNumberFormat="1" applyFont="1" applyFill="1" applyBorder="1" applyAlignment="1">
      <alignment horizontal="left" vertical="center" wrapText="1"/>
    </xf>
    <xf numFmtId="0" fontId="6" fillId="6" borderId="28" xfId="0" applyNumberFormat="1" applyFont="1" applyFill="1" applyBorder="1" applyAlignment="1">
      <alignment horizontal="left" vertical="center" wrapText="1"/>
    </xf>
    <xf numFmtId="166" fontId="6" fillId="6" borderId="0" xfId="0" applyNumberFormat="1" applyFont="1" applyFill="1" applyAlignment="1">
      <alignment horizontal="left" vertical="center" wrapText="1"/>
    </xf>
  </cellXfs>
  <cellStyles count="4">
    <cellStyle name="Eingabe" xfId="3" builtinId="20"/>
    <cellStyle name="Gut" xfId="1" builtinId="26"/>
    <cellStyle name="Schlecht" xfId="2"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26625488109221E-2"/>
          <c:y val="6.1086040332959571E-2"/>
          <c:w val="0.90874924151008052"/>
          <c:h val="0.77149406494589678"/>
        </c:manualLayout>
      </c:layout>
      <c:scatterChart>
        <c:scatterStyle val="lineMarker"/>
        <c:varyColors val="0"/>
        <c:ser>
          <c:idx val="0"/>
          <c:order val="0"/>
          <c:tx>
            <c:strRef>
              <c:f>'buckling curves'!$C$7</c:f>
              <c:strCache>
                <c:ptCount val="1"/>
                <c:pt idx="0">
                  <c:v>Chi Stiffener T1-3 § 5531 (7)</c:v>
                </c:pt>
              </c:strCache>
            </c:strRef>
          </c:tx>
          <c:spPr>
            <a:ln w="25400">
              <a:solidFill>
                <a:srgbClr val="000080"/>
              </a:solidFill>
              <a:prstDash val="solid"/>
            </a:ln>
          </c:spPr>
          <c:marker>
            <c:symbol val="none"/>
          </c:marker>
          <c:xVal>
            <c:numRef>
              <c:f>'buckling curves'!$B$8:$B$38</c:f>
              <c:numCache>
                <c:formatCode>0.000</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'buckling curves'!$C$8:$C$38</c:f>
              <c:numCache>
                <c:formatCode>0.000</c:formatCode>
                <c:ptCount val="31"/>
                <c:pt idx="0">
                  <c:v>1</c:v>
                </c:pt>
                <c:pt idx="1">
                  <c:v>1</c:v>
                </c:pt>
                <c:pt idx="2">
                  <c:v>1</c:v>
                </c:pt>
                <c:pt idx="3">
                  <c:v>1</c:v>
                </c:pt>
                <c:pt idx="4">
                  <c:v>1</c:v>
                </c:pt>
                <c:pt idx="5">
                  <c:v>1</c:v>
                </c:pt>
                <c:pt idx="6">
                  <c:v>1</c:v>
                </c:pt>
                <c:pt idx="7">
                  <c:v>0.96389999999999998</c:v>
                </c:pt>
                <c:pt idx="8">
                  <c:v>0.89160000000000006</c:v>
                </c:pt>
                <c:pt idx="9">
                  <c:v>0.81930000000000003</c:v>
                </c:pt>
                <c:pt idx="10">
                  <c:v>0.74700000000000011</c:v>
                </c:pt>
                <c:pt idx="11">
                  <c:v>0.67470000000000008</c:v>
                </c:pt>
                <c:pt idx="12">
                  <c:v>0.60240000000000005</c:v>
                </c:pt>
                <c:pt idx="13">
                  <c:v>0.53010000000000002</c:v>
                </c:pt>
                <c:pt idx="14">
                  <c:v>0.47142857142857142</c:v>
                </c:pt>
                <c:pt idx="15">
                  <c:v>0.43999999999999995</c:v>
                </c:pt>
                <c:pt idx="16">
                  <c:v>0.41249999999999992</c:v>
                </c:pt>
                <c:pt idx="17">
                  <c:v>0.38823529411764701</c:v>
                </c:pt>
                <c:pt idx="18">
                  <c:v>0.36666666666666659</c:v>
                </c:pt>
                <c:pt idx="19">
                  <c:v>0.34736842105263149</c:v>
                </c:pt>
                <c:pt idx="20">
                  <c:v>0.32999999999999996</c:v>
                </c:pt>
                <c:pt idx="21">
                  <c:v>0.31428571428571422</c:v>
                </c:pt>
                <c:pt idx="22">
                  <c:v>0.29999999999999993</c:v>
                </c:pt>
                <c:pt idx="23">
                  <c:v>0.28695652173913033</c:v>
                </c:pt>
                <c:pt idx="24">
                  <c:v>0.27499999999999991</c:v>
                </c:pt>
                <c:pt idx="25">
                  <c:v>0.2639999999999999</c:v>
                </c:pt>
                <c:pt idx="26">
                  <c:v>0.25384615384615378</c:v>
                </c:pt>
                <c:pt idx="27">
                  <c:v>0.24444444444444435</c:v>
                </c:pt>
                <c:pt idx="28">
                  <c:v>0.23571428571428563</c:v>
                </c:pt>
                <c:pt idx="29">
                  <c:v>0.22758620689655162</c:v>
                </c:pt>
                <c:pt idx="30">
                  <c:v>0.21999999999999992</c:v>
                </c:pt>
              </c:numCache>
            </c:numRef>
          </c:yVal>
          <c:smooth val="0"/>
        </c:ser>
        <c:ser>
          <c:idx val="2"/>
          <c:order val="1"/>
          <c:tx>
            <c:strRef>
              <c:f>'buckling curves'!$E$7</c:f>
              <c:strCache>
                <c:ptCount val="1"/>
                <c:pt idx="0">
                  <c:v>Chi (a_0)</c:v>
                </c:pt>
              </c:strCache>
            </c:strRef>
          </c:tx>
          <c:spPr>
            <a:ln w="25400">
              <a:solidFill>
                <a:srgbClr val="FF00FF"/>
              </a:solidFill>
              <a:prstDash val="solid"/>
            </a:ln>
          </c:spPr>
          <c:marker>
            <c:symbol val="none"/>
          </c:marker>
          <c:xVal>
            <c:numRef>
              <c:f>'buckling curves'!$B$8:$B$38</c:f>
              <c:numCache>
                <c:formatCode>0.000</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'buckling curves'!$E$8:$E$38</c:f>
              <c:numCache>
                <c:formatCode>0.000</c:formatCode>
                <c:ptCount val="31"/>
                <c:pt idx="0">
                  <c:v>1</c:v>
                </c:pt>
                <c:pt idx="1">
                  <c:v>1</c:v>
                </c:pt>
                <c:pt idx="2">
                  <c:v>1</c:v>
                </c:pt>
                <c:pt idx="3">
                  <c:v>0.98593478302229332</c:v>
                </c:pt>
                <c:pt idx="4">
                  <c:v>0.97014162084174738</c:v>
                </c:pt>
                <c:pt idx="5">
                  <c:v>0.95132117490882684</c:v>
                </c:pt>
                <c:pt idx="6">
                  <c:v>0.92758365025403311</c:v>
                </c:pt>
                <c:pt idx="7">
                  <c:v>0.89614750732970239</c:v>
                </c:pt>
                <c:pt idx="8">
                  <c:v>0.85334469790892897</c:v>
                </c:pt>
                <c:pt idx="9">
                  <c:v>0.7960539058574797</c:v>
                </c:pt>
                <c:pt idx="10">
                  <c:v>0.72534421786841086</c:v>
                </c:pt>
                <c:pt idx="11">
                  <c:v>0.64824763349327896</c:v>
                </c:pt>
                <c:pt idx="12">
                  <c:v>0.57319985378338922</c:v>
                </c:pt>
                <c:pt idx="13">
                  <c:v>0.50529073159311966</c:v>
                </c:pt>
                <c:pt idx="14">
                  <c:v>0.44610191006368127</c:v>
                </c:pt>
                <c:pt idx="15">
                  <c:v>0.39533597561933448</c:v>
                </c:pt>
                <c:pt idx="16">
                  <c:v>0.3520052790403671</c:v>
                </c:pt>
                <c:pt idx="17">
                  <c:v>0.31499348589967424</c:v>
                </c:pt>
                <c:pt idx="18">
                  <c:v>0.28326953031756202</c:v>
                </c:pt>
                <c:pt idx="19">
                  <c:v>0.25594936408063429</c:v>
                </c:pt>
                <c:pt idx="20">
                  <c:v>0.23229850693474247</c:v>
                </c:pt>
                <c:pt idx="21">
                  <c:v>0.2117146672016216</c:v>
                </c:pt>
                <c:pt idx="22">
                  <c:v>0.19370598813476009</c:v>
                </c:pt>
                <c:pt idx="23">
                  <c:v>0.17787060203405283</c:v>
                </c:pt>
                <c:pt idx="24">
                  <c:v>0.16387919531410022</c:v>
                </c:pt>
                <c:pt idx="25">
                  <c:v>0.15146075719463958</c:v>
                </c:pt>
                <c:pt idx="26">
                  <c:v>0.14039115650943229</c:v>
                </c:pt>
                <c:pt idx="27">
                  <c:v>0.13048406276700955</c:v>
                </c:pt>
                <c:pt idx="28">
                  <c:v>0.12158374880221817</c:v>
                </c:pt>
                <c:pt idx="29">
                  <c:v>0.11355938057956537</c:v>
                </c:pt>
                <c:pt idx="30">
                  <c:v>0.10630047452275883</c:v>
                </c:pt>
              </c:numCache>
            </c:numRef>
          </c:yVal>
          <c:smooth val="0"/>
        </c:ser>
        <c:ser>
          <c:idx val="4"/>
          <c:order val="2"/>
          <c:tx>
            <c:strRef>
              <c:f>'buckling curves'!$G$7</c:f>
              <c:strCache>
                <c:ptCount val="1"/>
                <c:pt idx="0">
                  <c:v>Chi (a)</c:v>
                </c:pt>
              </c:strCache>
            </c:strRef>
          </c:tx>
          <c:spPr>
            <a:ln w="25400">
              <a:solidFill>
                <a:srgbClr val="800080"/>
              </a:solidFill>
              <a:prstDash val="solid"/>
            </a:ln>
          </c:spPr>
          <c:marker>
            <c:symbol val="none"/>
          </c:marker>
          <c:xVal>
            <c:numRef>
              <c:f>'buckling curves'!$B$8:$B$38</c:f>
              <c:numCache>
                <c:formatCode>0.000</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'buckling curves'!$G$8:$G$38</c:f>
              <c:numCache>
                <c:formatCode>0.000</c:formatCode>
                <c:ptCount val="31"/>
                <c:pt idx="0">
                  <c:v>1</c:v>
                </c:pt>
                <c:pt idx="1">
                  <c:v>1</c:v>
                </c:pt>
                <c:pt idx="2">
                  <c:v>1</c:v>
                </c:pt>
                <c:pt idx="3">
                  <c:v>0.97749258061596089</c:v>
                </c:pt>
                <c:pt idx="4">
                  <c:v>0.95278534666477388</c:v>
                </c:pt>
                <c:pt idx="5">
                  <c:v>0.92427264228372952</c:v>
                </c:pt>
                <c:pt idx="6">
                  <c:v>0.88999501993143471</c:v>
                </c:pt>
                <c:pt idx="7">
                  <c:v>0.84773950632220074</c:v>
                </c:pt>
                <c:pt idx="8">
                  <c:v>0.79570325564382749</c:v>
                </c:pt>
                <c:pt idx="9">
                  <c:v>0.73394057045110916</c:v>
                </c:pt>
                <c:pt idx="10">
                  <c:v>0.66560305928460728</c:v>
                </c:pt>
                <c:pt idx="11">
                  <c:v>0.59600769334742743</c:v>
                </c:pt>
                <c:pt idx="12">
                  <c:v>0.52999644003048207</c:v>
                </c:pt>
                <c:pt idx="13">
                  <c:v>0.47033863238929946</c:v>
                </c:pt>
                <c:pt idx="14">
                  <c:v>0.41790025644422574</c:v>
                </c:pt>
                <c:pt idx="15">
                  <c:v>0.37243722559437292</c:v>
                </c:pt>
                <c:pt idx="16">
                  <c:v>0.33322985856824489</c:v>
                </c:pt>
                <c:pt idx="17">
                  <c:v>0.29943380270109732</c:v>
                </c:pt>
                <c:pt idx="18">
                  <c:v>0.27023923911780057</c:v>
                </c:pt>
                <c:pt idx="19">
                  <c:v>0.24492972947249564</c:v>
                </c:pt>
                <c:pt idx="20">
                  <c:v>0.2228948370164196</c:v>
                </c:pt>
                <c:pt idx="21">
                  <c:v>0.20362371049066638</c:v>
                </c:pt>
                <c:pt idx="22">
                  <c:v>0.18669221780841705</c:v>
                </c:pt>
                <c:pt idx="23">
                  <c:v>0.17174908435574596</c:v>
                </c:pt>
                <c:pt idx="24">
                  <c:v>0.15850318009707981</c:v>
                </c:pt>
                <c:pt idx="25">
                  <c:v>0.14671262253605155</c:v>
                </c:pt>
                <c:pt idx="26">
                  <c:v>0.13617573845433487</c:v>
                </c:pt>
                <c:pt idx="27">
                  <c:v>0.12672369101137249</c:v>
                </c:pt>
                <c:pt idx="28">
                  <c:v>0.11821451330258688</c:v>
                </c:pt>
                <c:pt idx="29">
                  <c:v>0.11052829492461788</c:v>
                </c:pt>
                <c:pt idx="30">
                  <c:v>0.10356329926202504</c:v>
                </c:pt>
              </c:numCache>
            </c:numRef>
          </c:yVal>
          <c:smooth val="0"/>
        </c:ser>
        <c:ser>
          <c:idx val="6"/>
          <c:order val="3"/>
          <c:tx>
            <c:strRef>
              <c:f>'buckling curves'!$I$7</c:f>
              <c:strCache>
                <c:ptCount val="1"/>
                <c:pt idx="0">
                  <c:v>Chi (b)</c:v>
                </c:pt>
              </c:strCache>
            </c:strRef>
          </c:tx>
          <c:spPr>
            <a:ln w="25400">
              <a:solidFill>
                <a:srgbClr val="008080"/>
              </a:solidFill>
              <a:prstDash val="solid"/>
            </a:ln>
          </c:spPr>
          <c:marker>
            <c:symbol val="none"/>
          </c:marker>
          <c:xVal>
            <c:numRef>
              <c:f>'buckling curves'!$B$8:$B$38</c:f>
              <c:numCache>
                <c:formatCode>0.000</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'buckling curves'!$I$8:$I$38</c:f>
              <c:numCache>
                <c:formatCode>0.000</c:formatCode>
                <c:ptCount val="31"/>
                <c:pt idx="0">
                  <c:v>1</c:v>
                </c:pt>
                <c:pt idx="1">
                  <c:v>1</c:v>
                </c:pt>
                <c:pt idx="2">
                  <c:v>1</c:v>
                </c:pt>
                <c:pt idx="3">
                  <c:v>0.96410588440475919</c:v>
                </c:pt>
                <c:pt idx="4">
                  <c:v>0.92607315908505083</c:v>
                </c:pt>
                <c:pt idx="5">
                  <c:v>0.88421539736154475</c:v>
                </c:pt>
                <c:pt idx="6">
                  <c:v>0.83705914889797295</c:v>
                </c:pt>
                <c:pt idx="7">
                  <c:v>0.78371007669478532</c:v>
                </c:pt>
                <c:pt idx="8">
                  <c:v>0.72445435649036838</c:v>
                </c:pt>
                <c:pt idx="9">
                  <c:v>0.66118219456787597</c:v>
                </c:pt>
                <c:pt idx="10">
                  <c:v>0.59702319159355288</c:v>
                </c:pt>
                <c:pt idx="11">
                  <c:v>0.53522296745642239</c:v>
                </c:pt>
                <c:pt idx="12">
                  <c:v>0.4781261136862337</c:v>
                </c:pt>
                <c:pt idx="13">
                  <c:v>0.42688155639326525</c:v>
                </c:pt>
                <c:pt idx="14">
                  <c:v>0.38169806832123415</c:v>
                </c:pt>
                <c:pt idx="15">
                  <c:v>0.34223461395649979</c:v>
                </c:pt>
                <c:pt idx="16">
                  <c:v>0.30790397212191112</c:v>
                </c:pt>
                <c:pt idx="17">
                  <c:v>0.27805397772425794</c:v>
                </c:pt>
                <c:pt idx="18">
                  <c:v>0.25205870162379812</c:v>
                </c:pt>
                <c:pt idx="19">
                  <c:v>0.22935660667274879</c:v>
                </c:pt>
                <c:pt idx="20">
                  <c:v>0.20946112958425722</c:v>
                </c:pt>
                <c:pt idx="21">
                  <c:v>0.19195833814422761</c:v>
                </c:pt>
                <c:pt idx="22">
                  <c:v>0.17649935362965691</c:v>
                </c:pt>
                <c:pt idx="23">
                  <c:v>0.16279131206278011</c:v>
                </c:pt>
                <c:pt idx="24">
                  <c:v>0.15058858052243951</c:v>
                </c:pt>
                <c:pt idx="25">
                  <c:v>0.13968491252797172</c:v>
                </c:pt>
                <c:pt idx="26">
                  <c:v>0.12990673160934971</c:v>
                </c:pt>
                <c:pt idx="27">
                  <c:v>0.12110750998000286</c:v>
                </c:pt>
                <c:pt idx="28">
                  <c:v>0.11316312154329393</c:v>
                </c:pt>
                <c:pt idx="29">
                  <c:v>0.10596802471112544</c:v>
                </c:pt>
                <c:pt idx="30">
                  <c:v>9.9432135296426291E-2</c:v>
                </c:pt>
              </c:numCache>
            </c:numRef>
          </c:yVal>
          <c:smooth val="0"/>
        </c:ser>
        <c:ser>
          <c:idx val="8"/>
          <c:order val="4"/>
          <c:tx>
            <c:strRef>
              <c:f>'buckling curves'!$K$7</c:f>
              <c:strCache>
                <c:ptCount val="1"/>
                <c:pt idx="0">
                  <c:v>Chi (c)</c:v>
                </c:pt>
              </c:strCache>
            </c:strRef>
          </c:tx>
          <c:spPr>
            <a:ln w="25400">
              <a:solidFill>
                <a:srgbClr val="00CCFF"/>
              </a:solidFill>
              <a:prstDash val="solid"/>
            </a:ln>
          </c:spPr>
          <c:marker>
            <c:symbol val="none"/>
          </c:marker>
          <c:xVal>
            <c:numRef>
              <c:f>'buckling curves'!$B$8:$B$38</c:f>
              <c:numCache>
                <c:formatCode>0.000</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'buckling curves'!$K$8:$K$38</c:f>
              <c:numCache>
                <c:formatCode>0.000</c:formatCode>
                <c:ptCount val="31"/>
                <c:pt idx="0">
                  <c:v>1</c:v>
                </c:pt>
                <c:pt idx="1">
                  <c:v>1</c:v>
                </c:pt>
                <c:pt idx="2">
                  <c:v>1</c:v>
                </c:pt>
                <c:pt idx="3">
                  <c:v>0.94914779479631606</c:v>
                </c:pt>
                <c:pt idx="4">
                  <c:v>0.89732077167248336</c:v>
                </c:pt>
                <c:pt idx="5">
                  <c:v>0.84299103026152122</c:v>
                </c:pt>
                <c:pt idx="6">
                  <c:v>0.78538459148952455</c:v>
                </c:pt>
                <c:pt idx="7">
                  <c:v>0.72468891890484077</c:v>
                </c:pt>
                <c:pt idx="8">
                  <c:v>0.66215476637127557</c:v>
                </c:pt>
                <c:pt idx="9">
                  <c:v>0.59983067165486181</c:v>
                </c:pt>
                <c:pt idx="10">
                  <c:v>0.53993902722384124</c:v>
                </c:pt>
                <c:pt idx="11">
                  <c:v>0.48424723188140989</c:v>
                </c:pt>
                <c:pt idx="12">
                  <c:v>0.43376948509443325</c:v>
                </c:pt>
                <c:pt idx="13">
                  <c:v>0.38881796173980432</c:v>
                </c:pt>
                <c:pt idx="14">
                  <c:v>0.34921929899281368</c:v>
                </c:pt>
                <c:pt idx="15">
                  <c:v>0.31453502185079085</c:v>
                </c:pt>
                <c:pt idx="16">
                  <c:v>0.28422045202358309</c:v>
                </c:pt>
                <c:pt idx="17">
                  <c:v>0.25771924710128696</c:v>
                </c:pt>
                <c:pt idx="18">
                  <c:v>0.2345115312092142</c:v>
                </c:pt>
                <c:pt idx="19">
                  <c:v>0.21413382128118791</c:v>
                </c:pt>
                <c:pt idx="20">
                  <c:v>0.19618361957918387</c:v>
                </c:pt>
                <c:pt idx="21">
                  <c:v>0.18031649803385652</c:v>
                </c:pt>
                <c:pt idx="22">
                  <c:v>0.16624003262149939</c:v>
                </c:pt>
                <c:pt idx="23">
                  <c:v>0.15370685426826841</c:v>
                </c:pt>
                <c:pt idx="24">
                  <c:v>0.1425079078755726</c:v>
                </c:pt>
                <c:pt idx="25">
                  <c:v>0.13246638315114798</c:v>
                </c:pt>
                <c:pt idx="26">
                  <c:v>0.12343246074140925</c:v>
                </c:pt>
                <c:pt idx="27">
                  <c:v>0.11527886364471329</c:v>
                </c:pt>
                <c:pt idx="28">
                  <c:v>0.10789713783312539</c:v>
                </c:pt>
                <c:pt idx="29">
                  <c:v>0.10119456423965383</c:v>
                </c:pt>
                <c:pt idx="30">
                  <c:v>9.5091603759184198E-2</c:v>
                </c:pt>
              </c:numCache>
            </c:numRef>
          </c:yVal>
          <c:smooth val="0"/>
        </c:ser>
        <c:dLbls>
          <c:showLegendKey val="0"/>
          <c:showVal val="0"/>
          <c:showCatName val="0"/>
          <c:showSerName val="0"/>
          <c:showPercent val="0"/>
          <c:showBubbleSize val="0"/>
        </c:dLbls>
        <c:axId val="188203392"/>
        <c:axId val="188204928"/>
      </c:scatterChart>
      <c:valAx>
        <c:axId val="188203392"/>
        <c:scaling>
          <c:orientation val="minMax"/>
        </c:scaling>
        <c:delete val="0"/>
        <c:axPos val="b"/>
        <c:numFmt formatCode="0.00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88204928"/>
        <c:crosses val="autoZero"/>
        <c:crossBetween val="midCat"/>
      </c:valAx>
      <c:valAx>
        <c:axId val="188204928"/>
        <c:scaling>
          <c:orientation val="minMax"/>
        </c:scaling>
        <c:delete val="0"/>
        <c:axPos val="l"/>
        <c:majorGridlines>
          <c:spPr>
            <a:ln w="3175">
              <a:solidFill>
                <a:srgbClr val="000000"/>
              </a:solidFill>
              <a:prstDash val="solid"/>
            </a:ln>
          </c:spPr>
        </c:majorGridlines>
        <c:numFmt formatCode="0.00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88203392"/>
        <c:crosses val="autoZero"/>
        <c:crossBetween val="midCat"/>
      </c:valAx>
      <c:spPr>
        <a:solidFill>
          <a:srgbClr val="C0C0C0"/>
        </a:solidFill>
        <a:ln w="12700">
          <a:solidFill>
            <a:srgbClr val="808080"/>
          </a:solidFill>
          <a:prstDash val="solid"/>
        </a:ln>
      </c:spPr>
    </c:plotArea>
    <c:legend>
      <c:legendPos val="b"/>
      <c:layout>
        <c:manualLayout>
          <c:xMode val="edge"/>
          <c:yMode val="edge"/>
          <c:x val="0.16180628316742635"/>
          <c:y val="0.92760283468568239"/>
          <c:w val="0.60677356187784881"/>
          <c:h val="5.42987025181862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496323</xdr:colOff>
      <xdr:row>10</xdr:row>
      <xdr:rowOff>174736</xdr:rowOff>
    </xdr:from>
    <xdr:to>
      <xdr:col>18</xdr:col>
      <xdr:colOff>1002571</xdr:colOff>
      <xdr:row>12</xdr:row>
      <xdr:rowOff>87148</xdr:rowOff>
    </xdr:to>
    <xdr:cxnSp macro="">
      <xdr:nvCxnSpPr>
        <xdr:cNvPr id="3" name="Gerader Verbinder 2"/>
        <xdr:cNvCxnSpPr/>
      </xdr:nvCxnSpPr>
      <xdr:spPr>
        <a:xfrm flipV="1">
          <a:off x="9821298" y="2079736"/>
          <a:ext cx="506248" cy="2934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994929</xdr:colOff>
      <xdr:row>10</xdr:row>
      <xdr:rowOff>175161</xdr:rowOff>
    </xdr:from>
    <xdr:to>
      <xdr:col>22</xdr:col>
      <xdr:colOff>157856</xdr:colOff>
      <xdr:row>10</xdr:row>
      <xdr:rowOff>178473</xdr:rowOff>
    </xdr:to>
    <xdr:cxnSp macro="">
      <xdr:nvCxnSpPr>
        <xdr:cNvPr id="7" name="Gerader Verbinder 6"/>
        <xdr:cNvCxnSpPr/>
      </xdr:nvCxnSpPr>
      <xdr:spPr>
        <a:xfrm>
          <a:off x="10319904" y="2080161"/>
          <a:ext cx="2106152" cy="33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158819</xdr:colOff>
      <xdr:row>10</xdr:row>
      <xdr:rowOff>174783</xdr:rowOff>
    </xdr:from>
    <xdr:to>
      <xdr:col>22</xdr:col>
      <xdr:colOff>162048</xdr:colOff>
      <xdr:row>15</xdr:row>
      <xdr:rowOff>87606</xdr:rowOff>
    </xdr:to>
    <xdr:cxnSp macro="">
      <xdr:nvCxnSpPr>
        <xdr:cNvPr id="9" name="Gerader Verbinder 8"/>
        <xdr:cNvCxnSpPr/>
      </xdr:nvCxnSpPr>
      <xdr:spPr>
        <a:xfrm>
          <a:off x="12427019" y="2079783"/>
          <a:ext cx="3229" cy="8653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287064</xdr:colOff>
      <xdr:row>10</xdr:row>
      <xdr:rowOff>174735</xdr:rowOff>
    </xdr:from>
    <xdr:to>
      <xdr:col>18</xdr:col>
      <xdr:colOff>802837</xdr:colOff>
      <xdr:row>10</xdr:row>
      <xdr:rowOff>174735</xdr:rowOff>
    </xdr:to>
    <xdr:cxnSp macro="">
      <xdr:nvCxnSpPr>
        <xdr:cNvPr id="11" name="Gerader Verbinder 10"/>
        <xdr:cNvCxnSpPr/>
      </xdr:nvCxnSpPr>
      <xdr:spPr>
        <a:xfrm flipH="1">
          <a:off x="9612039" y="2079735"/>
          <a:ext cx="51577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9</xdr:row>
      <xdr:rowOff>28575</xdr:rowOff>
    </xdr:from>
    <xdr:to>
      <xdr:col>18</xdr:col>
      <xdr:colOff>561415</xdr:colOff>
      <xdr:row>11</xdr:row>
      <xdr:rowOff>154641</xdr:rowOff>
    </xdr:to>
    <xdr:cxnSp macro="">
      <xdr:nvCxnSpPr>
        <xdr:cNvPr id="19" name="Gerade Verbindung mit Pfeil 18"/>
        <xdr:cNvCxnSpPr/>
      </xdr:nvCxnSpPr>
      <xdr:spPr>
        <a:xfrm>
          <a:off x="9420225" y="1743075"/>
          <a:ext cx="466165" cy="5070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876300</xdr:colOff>
      <xdr:row>39</xdr:row>
      <xdr:rowOff>47625</xdr:rowOff>
    </xdr:from>
    <xdr:to>
      <xdr:col>13</xdr:col>
      <xdr:colOff>266700</xdr:colOff>
      <xdr:row>61</xdr:row>
      <xdr:rowOff>66675</xdr:rowOff>
    </xdr:to>
    <xdr:graphicFrame macro="">
      <xdr:nvGraphicFramePr>
        <xdr:cNvPr id="102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abSelected="1" showOutlineSymbols="0" zoomScaleNormal="100" workbookViewId="0">
      <selection activeCell="B24" sqref="B24"/>
    </sheetView>
  </sheetViews>
  <sheetFormatPr baseColWidth="10" defaultColWidth="9.6640625" defaultRowHeight="15" x14ac:dyDescent="0.2"/>
  <cols>
    <col min="1" max="1" width="5.77734375" style="12" customWidth="1"/>
    <col min="2" max="2" width="6.77734375" style="12" customWidth="1"/>
    <col min="3" max="3" width="5.77734375" style="12" customWidth="1"/>
    <col min="4" max="4" width="6.33203125" style="12" customWidth="1"/>
    <col min="5" max="5" width="5.77734375" style="12" customWidth="1"/>
    <col min="6" max="7" width="5.88671875" style="12" customWidth="1"/>
    <col min="8" max="8" width="6.33203125" style="12" customWidth="1"/>
    <col min="9" max="9" width="5.88671875" style="12" customWidth="1"/>
    <col min="10" max="10" width="6.33203125" style="12" customWidth="1"/>
    <col min="11" max="14" width="5.88671875" style="12" customWidth="1"/>
    <col min="15" max="16" width="6.33203125" style="12" customWidth="1"/>
    <col min="17" max="18" width="5.88671875" style="12" customWidth="1"/>
    <col min="19" max="19" width="14.109375" style="12" customWidth="1"/>
    <col min="20" max="21" width="6.77734375" style="12" customWidth="1"/>
    <col min="22" max="22" width="6.6640625" style="12" customWidth="1"/>
    <col min="23" max="16384" width="9.6640625" style="12"/>
  </cols>
  <sheetData>
    <row r="1" spans="1:21" ht="15" customHeight="1" thickBot="1" x14ac:dyDescent="0.25">
      <c r="A1" s="10" t="s">
        <v>41</v>
      </c>
      <c r="B1" s="11"/>
      <c r="C1" s="11"/>
      <c r="D1" s="11"/>
      <c r="E1" s="98" t="s">
        <v>67</v>
      </c>
      <c r="F1" s="98"/>
      <c r="G1" s="98"/>
      <c r="H1" s="98"/>
      <c r="I1" s="76">
        <v>0.71</v>
      </c>
      <c r="J1" s="15" t="s">
        <v>53</v>
      </c>
      <c r="K1" s="13"/>
      <c r="L1" s="105" t="s">
        <v>72</v>
      </c>
      <c r="M1" s="106"/>
      <c r="N1" s="106"/>
      <c r="O1" s="77">
        <v>1250</v>
      </c>
      <c r="P1" s="14" t="s">
        <v>53</v>
      </c>
      <c r="Q1" s="15"/>
    </row>
    <row r="2" spans="1:21" ht="15" customHeight="1" x14ac:dyDescent="0.2">
      <c r="A2" s="108" t="s">
        <v>55</v>
      </c>
      <c r="B2" s="108"/>
      <c r="C2" s="108"/>
      <c r="E2" s="98" t="s">
        <v>68</v>
      </c>
      <c r="F2" s="98"/>
      <c r="G2" s="98"/>
      <c r="H2" s="98"/>
      <c r="I2" s="76">
        <v>36</v>
      </c>
      <c r="J2" s="15" t="s">
        <v>53</v>
      </c>
      <c r="K2" s="13"/>
      <c r="L2" s="98" t="s">
        <v>73</v>
      </c>
      <c r="M2" s="98"/>
      <c r="N2" s="98"/>
      <c r="O2" s="78">
        <v>160</v>
      </c>
      <c r="P2" s="15" t="s">
        <v>53</v>
      </c>
    </row>
    <row r="3" spans="1:21" ht="15" customHeight="1" x14ac:dyDescent="0.2">
      <c r="A3" s="108"/>
      <c r="B3" s="108"/>
      <c r="C3" s="108"/>
      <c r="E3" s="98" t="s">
        <v>69</v>
      </c>
      <c r="F3" s="98"/>
      <c r="G3" s="98"/>
      <c r="H3" s="98"/>
      <c r="I3" s="76">
        <v>14</v>
      </c>
      <c r="J3" s="15" t="s">
        <v>53</v>
      </c>
      <c r="K3" s="13"/>
      <c r="L3" s="98" t="s">
        <v>74</v>
      </c>
      <c r="M3" s="98"/>
      <c r="N3" s="98"/>
      <c r="O3" s="78">
        <v>600</v>
      </c>
      <c r="P3" s="15" t="s">
        <v>53</v>
      </c>
    </row>
    <row r="4" spans="1:21" ht="15" customHeight="1" x14ac:dyDescent="0.2">
      <c r="E4" s="98" t="s">
        <v>70</v>
      </c>
      <c r="F4" s="98"/>
      <c r="G4" s="98"/>
      <c r="H4" s="98"/>
      <c r="I4" s="76">
        <v>38</v>
      </c>
      <c r="J4" s="15" t="s">
        <v>53</v>
      </c>
      <c r="K4" s="13"/>
      <c r="L4" s="98" t="s">
        <v>75</v>
      </c>
      <c r="M4" s="98"/>
      <c r="N4" s="98"/>
      <c r="O4" s="78">
        <v>350</v>
      </c>
      <c r="P4" s="15" t="s">
        <v>63</v>
      </c>
    </row>
    <row r="5" spans="1:21" ht="15" customHeight="1" x14ac:dyDescent="0.2">
      <c r="E5" s="98" t="s">
        <v>71</v>
      </c>
      <c r="F5" s="98"/>
      <c r="G5" s="98"/>
      <c r="H5" s="98"/>
      <c r="I5" s="76">
        <v>13</v>
      </c>
      <c r="J5" s="15" t="s">
        <v>53</v>
      </c>
      <c r="K5" s="13"/>
      <c r="L5" s="98" t="s">
        <v>76</v>
      </c>
      <c r="M5" s="98"/>
      <c r="N5" s="98"/>
      <c r="O5" s="79">
        <v>1.0469999999999999</v>
      </c>
      <c r="P5" s="15" t="s">
        <v>54</v>
      </c>
    </row>
    <row r="6" spans="1:21" ht="15" customHeight="1" x14ac:dyDescent="0.2">
      <c r="K6" s="13"/>
      <c r="L6" s="107" t="s">
        <v>42</v>
      </c>
      <c r="M6" s="107"/>
      <c r="N6" s="107"/>
      <c r="O6" s="107"/>
      <c r="P6" s="107"/>
      <c r="R6" s="57"/>
      <c r="S6" s="57"/>
      <c r="T6" s="15"/>
      <c r="U6" s="15"/>
    </row>
    <row r="7" spans="1:21" ht="15" customHeight="1" x14ac:dyDescent="0.2">
      <c r="K7" s="13"/>
      <c r="L7" s="107"/>
      <c r="M7" s="107"/>
      <c r="N7" s="107"/>
      <c r="O7" s="107"/>
      <c r="P7" s="107"/>
      <c r="T7" s="15"/>
    </row>
    <row r="8" spans="1:21" ht="15" customHeight="1" x14ac:dyDescent="0.2">
      <c r="A8" s="16" t="s">
        <v>43</v>
      </c>
      <c r="S8" s="74" t="s">
        <v>82</v>
      </c>
    </row>
    <row r="9" spans="1:21" ht="15" customHeight="1" x14ac:dyDescent="0.2">
      <c r="A9" s="17"/>
      <c r="B9" s="17" t="s">
        <v>52</v>
      </c>
      <c r="C9" s="17" t="s">
        <v>77</v>
      </c>
      <c r="D9" s="17" t="s">
        <v>8</v>
      </c>
      <c r="E9" s="17" t="s">
        <v>2</v>
      </c>
      <c r="F9" s="17" t="s">
        <v>4</v>
      </c>
      <c r="G9" s="17" t="s">
        <v>12</v>
      </c>
      <c r="H9" s="17" t="s">
        <v>15</v>
      </c>
      <c r="I9" s="17" t="s">
        <v>18</v>
      </c>
      <c r="J9" s="17" t="s">
        <v>19</v>
      </c>
      <c r="K9" s="17" t="s">
        <v>31</v>
      </c>
      <c r="L9" s="17" t="s">
        <v>40</v>
      </c>
      <c r="M9" s="17" t="s">
        <v>16</v>
      </c>
      <c r="N9" s="17" t="s">
        <v>13</v>
      </c>
      <c r="O9" s="18"/>
    </row>
    <row r="10" spans="1:21" ht="15" customHeight="1" x14ac:dyDescent="0.2">
      <c r="A10" s="18"/>
      <c r="B10" s="18" t="s">
        <v>1</v>
      </c>
      <c r="C10" s="18" t="s">
        <v>1</v>
      </c>
      <c r="D10" s="18" t="s">
        <v>6</v>
      </c>
      <c r="E10" s="18" t="s">
        <v>66</v>
      </c>
      <c r="F10" s="18" t="s">
        <v>65</v>
      </c>
      <c r="G10" s="18" t="s">
        <v>1</v>
      </c>
      <c r="H10" s="18" t="s">
        <v>64</v>
      </c>
      <c r="I10" s="18" t="s">
        <v>14</v>
      </c>
      <c r="J10" s="18" t="s">
        <v>6</v>
      </c>
      <c r="K10" s="18" t="s">
        <v>6</v>
      </c>
      <c r="L10" s="18" t="s">
        <v>6</v>
      </c>
      <c r="M10" s="18" t="s">
        <v>64</v>
      </c>
      <c r="N10" s="18" t="s">
        <v>14</v>
      </c>
      <c r="O10" s="18"/>
    </row>
    <row r="11" spans="1:21" ht="15" customHeight="1" x14ac:dyDescent="0.2">
      <c r="A11" s="19"/>
      <c r="B11" s="6">
        <f>I1</f>
        <v>0.71</v>
      </c>
      <c r="C11" s="20">
        <f t="shared" ref="C11" si="0">$O$1</f>
        <v>1250</v>
      </c>
      <c r="D11" s="20">
        <v>1</v>
      </c>
      <c r="E11" s="20">
        <f ca="1">A35</f>
        <v>9324.5424221758058</v>
      </c>
      <c r="F11" s="21">
        <f ca="1">B35</f>
        <v>47.067970944093489</v>
      </c>
      <c r="G11" s="21">
        <f t="shared" ref="G11" ca="1" si="1">SQRT(E11/F11)</f>
        <v>14.075084998933399</v>
      </c>
      <c r="H11" s="22">
        <f>115385*B11^3/$O$2^2/(2*$O$2+3*$O$3)</f>
        <v>7.6093677651459322E-4</v>
      </c>
      <c r="I11" s="20">
        <f t="shared" ref="I11" ca="1" si="2">D11^2*PI()^2*210000*E11/(C11^2)+(H11*(C11/D11/PI())^2)</f>
        <v>12489.238049069778</v>
      </c>
      <c r="J11" s="23">
        <f t="shared" ref="J11" ca="1" si="3">SQRT($O$4*F11/I11)</f>
        <v>1.1484941536289515</v>
      </c>
      <c r="K11" s="23">
        <f t="shared" ref="K11" ca="1" si="4">0.5*(1+0.13*(J11-0.2)+J11^2)</f>
        <v>1.2211715304458226</v>
      </c>
      <c r="L11" s="23">
        <f t="shared" ref="L11" ca="1" si="5">1/(K11+SQRT(K11^2-J11^2))</f>
        <v>0.61118462438577237</v>
      </c>
      <c r="M11" s="81">
        <f t="shared" ref="M11" ca="1" si="6">L11*$O$4</f>
        <v>213.91461853502034</v>
      </c>
      <c r="N11" s="75">
        <f t="shared" ref="N11" ca="1" si="7">F11*M11</f>
        <v>10068.52704972318</v>
      </c>
      <c r="O11" s="18"/>
    </row>
    <row r="12" spans="1:21" ht="15" customHeight="1" x14ac:dyDescent="0.2">
      <c r="A12" s="16" t="s">
        <v>44</v>
      </c>
    </row>
    <row r="13" spans="1:21" ht="15" customHeight="1" x14ac:dyDescent="0.2">
      <c r="A13" s="17"/>
      <c r="B13" s="17" t="s">
        <v>0</v>
      </c>
      <c r="C13" s="17" t="s">
        <v>77</v>
      </c>
      <c r="D13" s="17" t="s">
        <v>8</v>
      </c>
      <c r="E13" s="17" t="s">
        <v>2</v>
      </c>
      <c r="F13" s="17" t="s">
        <v>4</v>
      </c>
      <c r="G13" s="17" t="s">
        <v>12</v>
      </c>
      <c r="H13" s="17" t="s">
        <v>15</v>
      </c>
      <c r="I13" s="17" t="s">
        <v>18</v>
      </c>
      <c r="J13" s="17" t="s">
        <v>19</v>
      </c>
      <c r="K13" s="17" t="s">
        <v>31</v>
      </c>
      <c r="L13" s="17" t="s">
        <v>40</v>
      </c>
      <c r="M13" s="17" t="s">
        <v>16</v>
      </c>
      <c r="N13" s="17" t="s">
        <v>13</v>
      </c>
      <c r="O13" s="18"/>
    </row>
    <row r="14" spans="1:21" ht="15" customHeight="1" x14ac:dyDescent="0.2">
      <c r="A14" s="18"/>
      <c r="B14" s="18" t="s">
        <v>1</v>
      </c>
      <c r="C14" s="18" t="s">
        <v>1</v>
      </c>
      <c r="D14" s="18" t="s">
        <v>6</v>
      </c>
      <c r="E14" s="18" t="s">
        <v>66</v>
      </c>
      <c r="F14" s="18" t="s">
        <v>65</v>
      </c>
      <c r="G14" s="18" t="s">
        <v>1</v>
      </c>
      <c r="H14" s="18" t="s">
        <v>64</v>
      </c>
      <c r="I14" s="18" t="s">
        <v>14</v>
      </c>
      <c r="J14" s="18" t="s">
        <v>6</v>
      </c>
      <c r="K14" s="18" t="s">
        <v>6</v>
      </c>
      <c r="L14" s="18" t="s">
        <v>6</v>
      </c>
      <c r="M14" s="18" t="s">
        <v>64</v>
      </c>
      <c r="N14" s="18" t="s">
        <v>14</v>
      </c>
      <c r="O14" s="18"/>
      <c r="T14" s="12" t="s">
        <v>51</v>
      </c>
    </row>
    <row r="15" spans="1:21" ht="15" customHeight="1" x14ac:dyDescent="0.2">
      <c r="A15" s="19"/>
      <c r="B15" s="21">
        <f>B11</f>
        <v>0.71</v>
      </c>
      <c r="C15" s="20">
        <f t="shared" ref="C15" si="8">$O$1</f>
        <v>1250</v>
      </c>
      <c r="D15" s="20">
        <f>D11</f>
        <v>1</v>
      </c>
      <c r="E15" s="20">
        <f ca="1">G35</f>
        <v>10132.906916676355</v>
      </c>
      <c r="F15" s="21">
        <f ca="1">H35</f>
        <v>46.852738012889311</v>
      </c>
      <c r="G15" s="21">
        <f t="shared" ref="G15" ca="1" si="9">SQRT(E15/F15)</f>
        <v>14.706168536240906</v>
      </c>
      <c r="H15" s="22">
        <f>115385*B15^3/$O$2^2/(2*$O$2+3*$O$3)</f>
        <v>7.6093677651459322E-4</v>
      </c>
      <c r="I15" s="20">
        <f t="shared" ref="I15" ca="1" si="10">D15^2*PI()^2*210000*E15/(C15^2)+(H15*(C15/D15/PI())^2)</f>
        <v>13561.513205708157</v>
      </c>
      <c r="J15" s="23">
        <f t="shared" ref="J15" ca="1" si="11">SQRT($O$4*F15/I15)</f>
        <v>1.0996321639592281</v>
      </c>
      <c r="K15" s="23">
        <f t="shared" ref="K15" ca="1" si="12">0.5*(1+0.13*(J15-0.2)+J15^2)</f>
        <v>1.1630715386641772</v>
      </c>
      <c r="L15" s="23">
        <f t="shared" ref="L15" ca="1" si="13">1/(K15+SQRT(K15^2-J15^2))</f>
        <v>0.64853189081990747</v>
      </c>
      <c r="M15" s="82">
        <f t="shared" ref="M15" ca="1" si="14">L15*$O$4</f>
        <v>226.98616178696761</v>
      </c>
      <c r="N15" s="24">
        <f t="shared" ref="N15" ca="1" si="15">F15*M15</f>
        <v>10634.923170756101</v>
      </c>
      <c r="O15" s="18"/>
    </row>
    <row r="16" spans="1:21" ht="15" customHeight="1" x14ac:dyDescent="0.2">
      <c r="A16" s="16" t="s">
        <v>45</v>
      </c>
      <c r="B16" s="26"/>
      <c r="C16" s="27"/>
      <c r="D16" s="27"/>
      <c r="E16" s="27"/>
      <c r="F16" s="26"/>
      <c r="G16" s="26"/>
      <c r="H16" s="28"/>
      <c r="I16" s="27"/>
      <c r="J16" s="29"/>
      <c r="K16" s="29"/>
      <c r="L16" s="29"/>
      <c r="M16" s="30"/>
      <c r="N16" s="27"/>
    </row>
    <row r="17" spans="1:19" ht="15" customHeight="1" x14ac:dyDescent="0.2">
      <c r="A17" s="17"/>
      <c r="B17" s="17" t="s">
        <v>0</v>
      </c>
      <c r="C17" s="17" t="s">
        <v>77</v>
      </c>
      <c r="D17" s="17" t="s">
        <v>8</v>
      </c>
      <c r="E17" s="17" t="s">
        <v>2</v>
      </c>
      <c r="F17" s="17" t="s">
        <v>4</v>
      </c>
      <c r="G17" s="31" t="s">
        <v>13</v>
      </c>
      <c r="H17" s="25" t="s">
        <v>16</v>
      </c>
      <c r="I17" s="32"/>
      <c r="J17" s="29"/>
      <c r="K17" s="29"/>
      <c r="L17" s="29"/>
      <c r="M17" s="30"/>
      <c r="N17" s="27"/>
    </row>
    <row r="18" spans="1:19" ht="15" customHeight="1" thickBot="1" x14ac:dyDescent="0.25">
      <c r="A18" s="18"/>
      <c r="B18" s="18" t="s">
        <v>1</v>
      </c>
      <c r="C18" s="18" t="s">
        <v>1</v>
      </c>
      <c r="D18" s="18" t="s">
        <v>6</v>
      </c>
      <c r="E18" s="18" t="s">
        <v>66</v>
      </c>
      <c r="F18" s="18" t="s">
        <v>65</v>
      </c>
      <c r="G18" s="33" t="s">
        <v>14</v>
      </c>
      <c r="H18" s="18" t="s">
        <v>64</v>
      </c>
      <c r="I18" s="32"/>
      <c r="J18" s="29"/>
      <c r="K18" s="29"/>
      <c r="L18" s="29"/>
      <c r="M18" s="30"/>
      <c r="N18" s="27"/>
    </row>
    <row r="19" spans="1:19" ht="15" customHeight="1" thickBot="1" x14ac:dyDescent="0.25">
      <c r="A19" s="62"/>
      <c r="B19" s="43">
        <f>B11</f>
        <v>0.71</v>
      </c>
      <c r="C19" s="63">
        <f t="shared" ref="C19" si="16">$O$1</f>
        <v>1250</v>
      </c>
      <c r="D19" s="63">
        <f>D11</f>
        <v>1</v>
      </c>
      <c r="E19" s="63">
        <f ca="1">E11+E15</f>
        <v>19457.449338852159</v>
      </c>
      <c r="F19" s="43">
        <f ca="1">F11+F15</f>
        <v>93.920708956982793</v>
      </c>
      <c r="G19" s="35">
        <f ca="1">N11+N15</f>
        <v>20703.450220479281</v>
      </c>
      <c r="H19" s="64">
        <f t="shared" ref="H19" ca="1" si="17">G19/F19</f>
        <v>220.43541249206069</v>
      </c>
      <c r="I19" s="15"/>
    </row>
    <row r="20" spans="1:19" ht="15" customHeight="1" x14ac:dyDescent="0.2">
      <c r="A20" s="16" t="s">
        <v>46</v>
      </c>
    </row>
    <row r="21" spans="1:19" ht="15" customHeight="1" x14ac:dyDescent="0.2">
      <c r="A21" s="36" t="s">
        <v>58</v>
      </c>
      <c r="B21" s="37"/>
      <c r="C21" s="38"/>
      <c r="D21" s="39"/>
      <c r="E21" s="61">
        <f>I2</f>
        <v>36</v>
      </c>
      <c r="F21" s="39" t="s">
        <v>1</v>
      </c>
      <c r="G21" s="37"/>
      <c r="H21" s="37"/>
      <c r="I21" s="40"/>
      <c r="J21" s="38" t="s">
        <v>59</v>
      </c>
      <c r="K21" s="39"/>
      <c r="L21" s="61">
        <f>I3</f>
        <v>14</v>
      </c>
      <c r="M21" s="39" t="s">
        <v>1</v>
      </c>
      <c r="N21" s="40"/>
      <c r="O21" s="40"/>
      <c r="P21" s="40"/>
      <c r="Q21" s="40"/>
      <c r="R21" s="41"/>
      <c r="S21" s="15"/>
    </row>
    <row r="22" spans="1:19" ht="15" customHeight="1" x14ac:dyDescent="0.2">
      <c r="A22" s="17" t="s">
        <v>52</v>
      </c>
      <c r="B22" s="18" t="s">
        <v>3</v>
      </c>
      <c r="C22" s="18" t="s">
        <v>5</v>
      </c>
      <c r="D22" s="18" t="s">
        <v>9</v>
      </c>
      <c r="E22" s="18" t="s">
        <v>11</v>
      </c>
      <c r="F22" s="18" t="s">
        <v>5</v>
      </c>
      <c r="G22" s="18" t="s">
        <v>9</v>
      </c>
      <c r="H22" s="18" t="s">
        <v>17</v>
      </c>
      <c r="I22" s="18" t="s">
        <v>5</v>
      </c>
      <c r="J22" s="18" t="s">
        <v>9</v>
      </c>
      <c r="K22" s="18" t="s">
        <v>20</v>
      </c>
      <c r="L22" s="18" t="s">
        <v>21</v>
      </c>
      <c r="M22" s="18" t="s">
        <v>22</v>
      </c>
      <c r="N22" s="18" t="s">
        <v>23</v>
      </c>
      <c r="O22" s="18" t="s">
        <v>24</v>
      </c>
      <c r="P22" s="18" t="s">
        <v>25</v>
      </c>
      <c r="Q22" s="18" t="s">
        <v>39</v>
      </c>
      <c r="R22" s="33" t="s">
        <v>26</v>
      </c>
      <c r="S22" s="15"/>
    </row>
    <row r="23" spans="1:19" ht="15" customHeight="1" x14ac:dyDescent="0.2">
      <c r="A23" s="18" t="s">
        <v>1</v>
      </c>
      <c r="B23" s="18" t="s">
        <v>64</v>
      </c>
      <c r="C23" s="18" t="s">
        <v>6</v>
      </c>
      <c r="D23" s="18"/>
      <c r="E23" s="18"/>
      <c r="F23" s="18" t="s">
        <v>6</v>
      </c>
      <c r="G23" s="18"/>
      <c r="H23" s="18"/>
      <c r="I23" s="18" t="s">
        <v>6</v>
      </c>
      <c r="J23" s="18"/>
      <c r="K23" s="18" t="s">
        <v>1</v>
      </c>
      <c r="L23" s="18" t="s">
        <v>65</v>
      </c>
      <c r="M23" s="18" t="s">
        <v>66</v>
      </c>
      <c r="N23" s="18" t="s">
        <v>64</v>
      </c>
      <c r="O23" s="18" t="s">
        <v>64</v>
      </c>
      <c r="P23" s="18" t="s">
        <v>6</v>
      </c>
      <c r="Q23" s="18" t="s">
        <v>6</v>
      </c>
      <c r="R23" s="33" t="s">
        <v>1</v>
      </c>
      <c r="S23" s="15"/>
    </row>
    <row r="24" spans="1:19" ht="15" customHeight="1" x14ac:dyDescent="0.25">
      <c r="A24" s="41">
        <f>B11</f>
        <v>0.71</v>
      </c>
      <c r="B24" s="80">
        <v>225</v>
      </c>
      <c r="C24" s="42">
        <f>1.052*$E$21/A24*SQRT(B24/(210000*4))</f>
        <v>0.87299450060044048</v>
      </c>
      <c r="D24" s="42">
        <f t="shared" ref="D24" si="18">(1-0.22/C24)/C24</f>
        <v>0.8568139090104675</v>
      </c>
      <c r="E24" s="43">
        <f>IF(D24&gt;1,$E$21/2,D24*$E$21/2)</f>
        <v>15.422650362188415</v>
      </c>
      <c r="F24" s="42">
        <f ca="1">MIN(1.052*$E$21/A24*SQRT(Q24*$O$4/(210000*4)),C24)</f>
        <v>0.72277314159094952</v>
      </c>
      <c r="G24" s="42">
        <f t="shared" ref="G24" ca="1" si="19">(1-0.22/F24)/F24</f>
        <v>0.96242757559695413</v>
      </c>
      <c r="H24" s="43">
        <f ca="1">IF(G24&gt;1,$E$21/2,G24*$E$21/2)</f>
        <v>17.323696360745174</v>
      </c>
      <c r="I24" s="42">
        <f>1.052*$L$21/A24*SQRT(B24/(210000*0.5))</f>
        <v>0.96024495982043234</v>
      </c>
      <c r="J24" s="42">
        <f t="shared" ref="J24" si="20">0.7/I24</f>
        <v>0.72898065523916034</v>
      </c>
      <c r="K24" s="43">
        <f>IF(J24&gt;1,$L$21,J24*$L$21)</f>
        <v>10.205729173348244</v>
      </c>
      <c r="L24" s="43">
        <f t="shared" ref="L24" ca="1" si="21">(H24+K24)*A24</f>
        <v>19.545892129206326</v>
      </c>
      <c r="M24" s="44">
        <f ca="1">((0.5*K24*SIN($O$5)-D35)^2*K24+H24*D35^2+K24^3*(SIN($O$5))^2/12)*A24</f>
        <v>136.18967536283978</v>
      </c>
      <c r="N24" s="42">
        <f>57692*A24^3/$E$21^2/($E$21+$O$2)</f>
        <v>8.1288585805618541E-2</v>
      </c>
      <c r="O24" s="44">
        <f t="shared" ref="O24" ca="1" si="22">2*SQRT(N24*210000*M24)/L24</f>
        <v>156.01667633514671</v>
      </c>
      <c r="P24" s="42">
        <f t="shared" ref="P24" ca="1" si="23">SQRT($O$4/O24)</f>
        <v>1.4977816698086546</v>
      </c>
      <c r="Q24" s="42">
        <f t="shared" ref="Q24" ca="1" si="24">IF(P24&lt;0.65,1,IF(P24&lt;1.38,(1.47-0.723*P24),0.66/P24))</f>
        <v>0.4406516739414475</v>
      </c>
      <c r="R24" s="72">
        <f t="shared" ref="R24" ca="1" si="25">MIN(Q24*A24*$O$4/B24,A24)</f>
        <v>0.48667529321977643</v>
      </c>
      <c r="S24" s="15"/>
    </row>
    <row r="25" spans="1:19" ht="15" customHeight="1" x14ac:dyDescent="0.2">
      <c r="A25" s="15"/>
      <c r="B25" s="46"/>
      <c r="C25" s="47"/>
      <c r="D25" s="47"/>
      <c r="E25" s="48"/>
      <c r="F25" s="15"/>
      <c r="G25" s="15"/>
      <c r="H25" s="15"/>
      <c r="I25" s="48"/>
      <c r="J25" s="46"/>
      <c r="K25" s="47"/>
      <c r="L25" s="46"/>
      <c r="M25" s="47"/>
      <c r="N25" s="47"/>
      <c r="O25" s="49"/>
      <c r="P25" s="50"/>
      <c r="Q25" s="47"/>
      <c r="R25" s="48"/>
    </row>
    <row r="26" spans="1:19" ht="15" customHeight="1" x14ac:dyDescent="0.2">
      <c r="A26" s="36" t="s">
        <v>60</v>
      </c>
      <c r="B26" s="44"/>
      <c r="C26" s="38"/>
      <c r="D26" s="39"/>
      <c r="E26" s="61">
        <f>I4</f>
        <v>38</v>
      </c>
      <c r="F26" s="39" t="s">
        <v>1</v>
      </c>
      <c r="G26" s="37"/>
      <c r="H26" s="37"/>
      <c r="I26" s="40"/>
      <c r="J26" s="38" t="s">
        <v>61</v>
      </c>
      <c r="K26" s="39"/>
      <c r="L26" s="61">
        <f>I5</f>
        <v>13</v>
      </c>
      <c r="M26" s="39" t="s">
        <v>1</v>
      </c>
      <c r="N26" s="40"/>
      <c r="O26" s="40"/>
      <c r="P26" s="40"/>
      <c r="Q26" s="42"/>
      <c r="R26" s="41"/>
      <c r="S26" s="15"/>
    </row>
    <row r="27" spans="1:19" ht="15" customHeight="1" x14ac:dyDescent="0.2">
      <c r="A27" s="17" t="s">
        <v>52</v>
      </c>
      <c r="B27" s="51" t="s">
        <v>3</v>
      </c>
      <c r="C27" s="18" t="s">
        <v>5</v>
      </c>
      <c r="D27" s="18" t="s">
        <v>9</v>
      </c>
      <c r="E27" s="18" t="s">
        <v>11</v>
      </c>
      <c r="F27" s="18" t="s">
        <v>5</v>
      </c>
      <c r="G27" s="18" t="s">
        <v>9</v>
      </c>
      <c r="H27" s="18" t="s">
        <v>17</v>
      </c>
      <c r="I27" s="18" t="s">
        <v>5</v>
      </c>
      <c r="J27" s="18" t="s">
        <v>9</v>
      </c>
      <c r="K27" s="18" t="s">
        <v>20</v>
      </c>
      <c r="L27" s="18" t="s">
        <v>21</v>
      </c>
      <c r="M27" s="18" t="s">
        <v>22</v>
      </c>
      <c r="N27" s="18" t="s">
        <v>23</v>
      </c>
      <c r="O27" s="18" t="s">
        <v>24</v>
      </c>
      <c r="P27" s="18" t="s">
        <v>25</v>
      </c>
      <c r="Q27" s="52" t="s">
        <v>39</v>
      </c>
      <c r="R27" s="33" t="s">
        <v>26</v>
      </c>
      <c r="S27" s="15"/>
    </row>
    <row r="28" spans="1:19" ht="15" customHeight="1" x14ac:dyDescent="0.2">
      <c r="A28" s="18" t="s">
        <v>1</v>
      </c>
      <c r="B28" s="18" t="s">
        <v>64</v>
      </c>
      <c r="C28" s="18" t="s">
        <v>6</v>
      </c>
      <c r="D28" s="18"/>
      <c r="E28" s="18"/>
      <c r="F28" s="18" t="s">
        <v>6</v>
      </c>
      <c r="G28" s="18"/>
      <c r="H28" s="18"/>
      <c r="I28" s="18" t="s">
        <v>6</v>
      </c>
      <c r="J28" s="18"/>
      <c r="K28" s="18" t="s">
        <v>1</v>
      </c>
      <c r="L28" s="18" t="s">
        <v>65</v>
      </c>
      <c r="M28" s="18" t="s">
        <v>66</v>
      </c>
      <c r="N28" s="18" t="s">
        <v>64</v>
      </c>
      <c r="O28" s="18" t="s">
        <v>64</v>
      </c>
      <c r="P28" s="18" t="s">
        <v>6</v>
      </c>
      <c r="Q28" s="52" t="s">
        <v>6</v>
      </c>
      <c r="R28" s="33" t="s">
        <v>1</v>
      </c>
      <c r="S28" s="15"/>
    </row>
    <row r="29" spans="1:19" ht="15" customHeight="1" x14ac:dyDescent="0.25">
      <c r="A29" s="41">
        <f>B11</f>
        <v>0.71</v>
      </c>
      <c r="B29" s="80">
        <v>226.9</v>
      </c>
      <c r="C29" s="42">
        <f>1.052*$E$26/A29*SQRT(B29/(210000*4))</f>
        <v>0.92537676903247656</v>
      </c>
      <c r="D29" s="42">
        <f t="shared" ref="D29" si="26">(1-0.22/C29)/C29</f>
        <v>0.82372826272508959</v>
      </c>
      <c r="E29" s="43">
        <f>IF(D29&gt;1,$E$26/2,D29*$E$26/2)</f>
        <v>15.650836991776702</v>
      </c>
      <c r="F29" s="42">
        <f ca="1">MIN(1.052*$E$26/A29*SQRT(Q29*$O$4/(210000*4)),C29)</f>
        <v>0.74758619224862288</v>
      </c>
      <c r="G29" s="42">
        <f t="shared" ref="G29" ca="1" si="27">(1-0.22/F29)/F29</f>
        <v>0.94399757345284119</v>
      </c>
      <c r="H29" s="43">
        <f ca="1">IF(G29&gt;1,$E$26/2,G29*$E$26/2)</f>
        <v>17.935953895603983</v>
      </c>
      <c r="I29" s="42">
        <f>1.052*$L$26/A29*SQRT(B29/(210000*0.5))</f>
        <v>0.89541288957470544</v>
      </c>
      <c r="J29" s="42">
        <f t="shared" ref="J29" si="28">0.7/I29</f>
        <v>0.78176225532388666</v>
      </c>
      <c r="K29" s="43">
        <f>IF(J29&gt;1,$L$26,J29*$L$26)</f>
        <v>10.162909319210527</v>
      </c>
      <c r="L29" s="43">
        <f t="shared" ref="L29" ca="1" si="29">(H29+K29)*A29</f>
        <v>19.950192882518301</v>
      </c>
      <c r="M29" s="44">
        <f ca="1">((0.5*K29*SIN($O$5)-J35)^2*K29+H29*J35^2+K29^3*(SIN($O$5))^2/12)*A29</f>
        <v>135.74512367625806</v>
      </c>
      <c r="N29" s="42">
        <f>57692*A29^3/$E$26^2/($E$26+$O$2)</f>
        <v>7.2220128612999812E-2</v>
      </c>
      <c r="O29" s="44">
        <f t="shared" ref="O29" ca="1" si="30">2*SQRT(N29*210000*M29)/L29</f>
        <v>143.84136366233716</v>
      </c>
      <c r="P29" s="42">
        <f t="shared" ref="P29" ca="1" si="31">SQRT($O$4/O29)</f>
        <v>1.5598833638399026</v>
      </c>
      <c r="Q29" s="42">
        <f t="shared" ref="Q29" ca="1" si="32">IF(P29&lt;0.65,1,IF(P29&lt;1.38,(1.47-0.723*P29),0.66/P29))</f>
        <v>0.42310855753683047</v>
      </c>
      <c r="R29" s="72">
        <f t="shared" ref="R29" ca="1" si="33">MIN(Q29*A29*$O$4/B29,A29)</f>
        <v>0.46338685124681517</v>
      </c>
      <c r="S29" s="15"/>
    </row>
    <row r="30" spans="1:19" ht="15" customHeight="1" x14ac:dyDescent="0.2">
      <c r="A30" s="15"/>
      <c r="B30" s="46"/>
      <c r="C30" s="47"/>
      <c r="D30" s="47"/>
      <c r="E30" s="48"/>
      <c r="F30" s="48"/>
      <c r="G30" s="46"/>
      <c r="H30" s="47"/>
      <c r="I30" s="46"/>
      <c r="J30" s="47"/>
      <c r="K30" s="47"/>
      <c r="L30" s="49"/>
      <c r="M30" s="50"/>
      <c r="N30" s="48"/>
      <c r="O30" s="48"/>
      <c r="P30" s="15"/>
      <c r="Q30" s="15"/>
      <c r="R30" s="15"/>
    </row>
    <row r="31" spans="1:19" ht="15" customHeight="1" x14ac:dyDescent="0.2">
      <c r="A31" s="16" t="s">
        <v>47</v>
      </c>
      <c r="M31" s="27"/>
      <c r="N31" s="26"/>
      <c r="O31" s="26"/>
    </row>
    <row r="32" spans="1:19" ht="15" customHeight="1" x14ac:dyDescent="0.2">
      <c r="A32" s="102" t="s">
        <v>49</v>
      </c>
      <c r="B32" s="103"/>
      <c r="C32" s="104"/>
      <c r="D32" s="53" t="s">
        <v>48</v>
      </c>
      <c r="E32" s="15"/>
      <c r="G32" s="99" t="s">
        <v>50</v>
      </c>
      <c r="H32" s="100"/>
      <c r="I32" s="101"/>
      <c r="J32" s="53" t="s">
        <v>48</v>
      </c>
      <c r="K32" s="15"/>
      <c r="L32" s="13" t="s">
        <v>56</v>
      </c>
      <c r="M32" s="27"/>
      <c r="N32" s="26"/>
      <c r="O32" s="26"/>
    </row>
    <row r="33" spans="1:20" ht="15" customHeight="1" x14ac:dyDescent="0.2">
      <c r="A33" s="60" t="s">
        <v>2</v>
      </c>
      <c r="B33" s="34" t="s">
        <v>4</v>
      </c>
      <c r="C33" s="34" t="s">
        <v>7</v>
      </c>
      <c r="D33" s="65" t="s">
        <v>10</v>
      </c>
      <c r="E33" s="15"/>
      <c r="G33" s="62" t="s">
        <v>2</v>
      </c>
      <c r="H33" s="40" t="s">
        <v>4</v>
      </c>
      <c r="I33" s="40" t="s">
        <v>7</v>
      </c>
      <c r="J33" s="45" t="s">
        <v>10</v>
      </c>
      <c r="K33" s="15"/>
      <c r="L33" s="112" t="s">
        <v>62</v>
      </c>
      <c r="M33" s="112"/>
      <c r="N33" s="112"/>
      <c r="O33" s="112"/>
      <c r="P33" s="112"/>
    </row>
    <row r="34" spans="1:20" ht="15" customHeight="1" x14ac:dyDescent="0.2">
      <c r="A34" s="59" t="s">
        <v>66</v>
      </c>
      <c r="B34" s="66" t="s">
        <v>65</v>
      </c>
      <c r="C34" s="66" t="s">
        <v>1</v>
      </c>
      <c r="D34" s="67" t="s">
        <v>1</v>
      </c>
      <c r="E34" s="15"/>
      <c r="G34" s="58" t="s">
        <v>66</v>
      </c>
      <c r="H34" s="18" t="s">
        <v>65</v>
      </c>
      <c r="I34" s="18" t="s">
        <v>1</v>
      </c>
      <c r="J34" s="68" t="s">
        <v>1</v>
      </c>
      <c r="K34" s="15"/>
      <c r="L34" s="112"/>
      <c r="M34" s="112"/>
      <c r="N34" s="112"/>
      <c r="O34" s="112"/>
      <c r="P34" s="112"/>
    </row>
    <row r="35" spans="1:20" ht="15" customHeight="1" x14ac:dyDescent="0.2">
      <c r="A35" s="69">
        <f ca="1">(E24^3*A24+H24^3*R24+R24*K24^3*(COS($O$5))^2)/12+A24*($O$2/5*C35^2+(E24/2-C35)^2*E24)+R24*(H24*($E$21-H24/2-C35)^2+K24*($E$21+K24/2*COS($O$5)-C35)^2)</f>
        <v>9324.5419756273386</v>
      </c>
      <c r="B35" s="70">
        <f ca="1">($O$2/5+E24)*A24+(H24+K24)*R24</f>
        <v>47.067973001130689</v>
      </c>
      <c r="C35" s="70">
        <f ca="1">(E24^2/2*A24-(H24^2/2*R24)+(($E$21*H24)+($E$21*K24)+(K24^2/2*COS($O$5)))*R24)/B35</f>
        <v>10.759174573725959</v>
      </c>
      <c r="D35" s="71">
        <f ca="1">K24^2*SIN($O$5)/2/(K24+H24)</f>
        <v>1.6381060738098334</v>
      </c>
      <c r="E35" s="48"/>
      <c r="F35" s="26"/>
      <c r="G35" s="69">
        <f ca="1">(E29^3*A29+H29^3*R29+R29*K29^3*(COS($O$5))^2)/12+A29*($O$2/5*I35^2+(E29/2-I35)^2*E29)+R29*(H29*($E$26-H29/2-I35)^2+K29*($E$26+K29/2*COS($O$5)-I35)^2)</f>
        <v>10132.906916676355</v>
      </c>
      <c r="H35" s="70">
        <f ca="1">($O$2/5+E29)*A29+(H29+K29)*R29</f>
        <v>46.852738012889311</v>
      </c>
      <c r="I35" s="70">
        <f ca="1">(E29^2/2*A29-(H29^2/2*R29)+(($E$26*H29)+($E$26*K29)+(K29^2/2*COS($O$5)))*R29)/H35</f>
        <v>11.080998640177528</v>
      </c>
      <c r="J35" s="71">
        <f ca="1">K29^2*SIN($O$5)/2/(K29+H29)</f>
        <v>1.5914699458204367</v>
      </c>
      <c r="K35" s="47"/>
      <c r="L35" s="54"/>
      <c r="M35" s="27"/>
      <c r="N35" s="26"/>
      <c r="O35" s="26"/>
    </row>
    <row r="36" spans="1:20" ht="15" customHeight="1" x14ac:dyDescent="0.2">
      <c r="B36" s="30"/>
      <c r="D36" s="29"/>
      <c r="E36" s="26"/>
      <c r="G36" s="30"/>
      <c r="I36" s="30"/>
      <c r="J36" s="29"/>
      <c r="K36" s="29"/>
      <c r="L36" s="54"/>
    </row>
    <row r="37" spans="1:20" ht="36.75" customHeight="1" x14ac:dyDescent="0.25">
      <c r="B37" s="7"/>
      <c r="C37" s="109" t="s">
        <v>78</v>
      </c>
      <c r="D37" s="110"/>
      <c r="E37" s="110"/>
      <c r="F37" s="110"/>
      <c r="G37" s="110"/>
      <c r="H37" s="110"/>
      <c r="I37" s="110"/>
      <c r="J37" s="110"/>
      <c r="K37" s="110"/>
      <c r="L37" s="110"/>
      <c r="M37" s="110"/>
      <c r="N37" s="110"/>
      <c r="O37" s="111"/>
      <c r="T37" s="73"/>
    </row>
    <row r="38" spans="1:20" ht="61.5" customHeight="1" x14ac:dyDescent="0.25">
      <c r="B38" s="8"/>
      <c r="C38" s="109" t="s">
        <v>79</v>
      </c>
      <c r="D38" s="110"/>
      <c r="E38" s="110"/>
      <c r="F38" s="110"/>
      <c r="G38" s="110"/>
      <c r="H38" s="110"/>
      <c r="I38" s="110"/>
      <c r="J38" s="110"/>
      <c r="K38" s="110"/>
      <c r="L38" s="110"/>
      <c r="M38" s="110"/>
      <c r="N38" s="110"/>
      <c r="O38" s="111"/>
      <c r="S38" s="73"/>
    </row>
    <row r="39" spans="1:20" ht="32.25" customHeight="1" x14ac:dyDescent="0.25">
      <c r="B39" s="9"/>
      <c r="C39" s="109" t="s">
        <v>80</v>
      </c>
      <c r="D39" s="110"/>
      <c r="E39" s="110"/>
      <c r="F39" s="110"/>
      <c r="G39" s="110"/>
      <c r="H39" s="110"/>
      <c r="I39" s="110"/>
      <c r="J39" s="110"/>
      <c r="K39" s="110"/>
      <c r="L39" s="110"/>
      <c r="M39" s="110"/>
      <c r="N39" s="110"/>
      <c r="O39" s="111"/>
      <c r="S39" s="73"/>
    </row>
    <row r="40" spans="1:20" ht="82.5" customHeight="1" x14ac:dyDescent="0.2">
      <c r="B40" s="55"/>
      <c r="C40" s="86" t="s">
        <v>83</v>
      </c>
      <c r="D40" s="87"/>
      <c r="E40" s="87"/>
      <c r="F40" s="87"/>
      <c r="G40" s="87"/>
      <c r="H40" s="87"/>
      <c r="I40" s="87"/>
      <c r="J40" s="87"/>
      <c r="K40" s="87"/>
      <c r="L40" s="87"/>
      <c r="M40" s="87"/>
      <c r="N40" s="87"/>
      <c r="O40" s="88"/>
      <c r="S40" s="73"/>
    </row>
    <row r="41" spans="1:20" ht="20.25" customHeight="1" x14ac:dyDescent="0.2">
      <c r="B41" s="55"/>
      <c r="C41" s="89" t="s">
        <v>84</v>
      </c>
      <c r="D41" s="90"/>
      <c r="E41" s="90"/>
      <c r="F41" s="90"/>
      <c r="G41" s="90"/>
      <c r="H41" s="90"/>
      <c r="I41" s="90"/>
      <c r="J41" s="90"/>
      <c r="K41" s="90"/>
      <c r="L41" s="90"/>
      <c r="M41" s="90"/>
      <c r="N41" s="90"/>
      <c r="O41" s="91"/>
      <c r="S41" s="73"/>
    </row>
    <row r="42" spans="1:20" ht="45.75" customHeight="1" x14ac:dyDescent="0.2">
      <c r="B42" s="55"/>
      <c r="C42" s="92" t="s">
        <v>85</v>
      </c>
      <c r="D42" s="93"/>
      <c r="E42" s="93"/>
      <c r="F42" s="93"/>
      <c r="G42" s="93"/>
      <c r="H42" s="93"/>
      <c r="I42" s="93"/>
      <c r="J42" s="93"/>
      <c r="K42" s="93"/>
      <c r="L42" s="93"/>
      <c r="M42" s="93"/>
      <c r="N42" s="93"/>
      <c r="O42" s="94"/>
      <c r="S42" s="73"/>
    </row>
    <row r="43" spans="1:20" ht="45.75" customHeight="1" x14ac:dyDescent="0.2">
      <c r="B43" s="55"/>
      <c r="C43" s="92" t="s">
        <v>86</v>
      </c>
      <c r="D43" s="93"/>
      <c r="E43" s="93"/>
      <c r="F43" s="93"/>
      <c r="G43" s="93"/>
      <c r="H43" s="93"/>
      <c r="I43" s="93"/>
      <c r="J43" s="93"/>
      <c r="K43" s="93"/>
      <c r="L43" s="93"/>
      <c r="M43" s="93"/>
      <c r="N43" s="93"/>
      <c r="O43" s="94"/>
    </row>
    <row r="44" spans="1:20" ht="45.75" customHeight="1" x14ac:dyDescent="0.2">
      <c r="B44" s="55"/>
      <c r="C44" s="92" t="s">
        <v>87</v>
      </c>
      <c r="D44" s="93"/>
      <c r="E44" s="93"/>
      <c r="F44" s="93"/>
      <c r="G44" s="93"/>
      <c r="H44" s="93"/>
      <c r="I44" s="93"/>
      <c r="J44" s="93"/>
      <c r="K44" s="93"/>
      <c r="L44" s="93"/>
      <c r="M44" s="93"/>
      <c r="N44" s="93"/>
      <c r="O44" s="94"/>
    </row>
    <row r="45" spans="1:20" ht="66.75" customHeight="1" x14ac:dyDescent="0.2">
      <c r="B45" s="56"/>
      <c r="C45" s="95" t="s">
        <v>88</v>
      </c>
      <c r="D45" s="96"/>
      <c r="E45" s="96"/>
      <c r="F45" s="96"/>
      <c r="G45" s="96"/>
      <c r="H45" s="96"/>
      <c r="I45" s="96"/>
      <c r="J45" s="96"/>
      <c r="K45" s="96"/>
      <c r="L45" s="96"/>
      <c r="M45" s="96"/>
      <c r="N45" s="96"/>
      <c r="O45" s="97"/>
    </row>
    <row r="46" spans="1:20" ht="49.5" customHeight="1" x14ac:dyDescent="0.2">
      <c r="B46" s="83" t="s">
        <v>81</v>
      </c>
      <c r="C46" s="84"/>
      <c r="D46" s="84"/>
      <c r="E46" s="84"/>
      <c r="F46" s="84"/>
      <c r="G46" s="84"/>
      <c r="H46" s="84"/>
      <c r="I46" s="84"/>
      <c r="J46" s="84"/>
      <c r="K46" s="84"/>
      <c r="L46" s="84"/>
      <c r="M46" s="84"/>
      <c r="N46" s="84"/>
      <c r="O46" s="85"/>
    </row>
  </sheetData>
  <sheetProtection password="D4BE" sheet="1" objects="1" scenarios="1" selectLockedCells="1"/>
  <mergeCells count="25">
    <mergeCell ref="C37:O37"/>
    <mergeCell ref="C39:O39"/>
    <mergeCell ref="C38:O38"/>
    <mergeCell ref="L33:P34"/>
    <mergeCell ref="L4:N4"/>
    <mergeCell ref="L3:N3"/>
    <mergeCell ref="L2:N2"/>
    <mergeCell ref="G32:I32"/>
    <mergeCell ref="A32:C32"/>
    <mergeCell ref="L1:N1"/>
    <mergeCell ref="E1:H1"/>
    <mergeCell ref="L6:P7"/>
    <mergeCell ref="A2:C3"/>
    <mergeCell ref="E5:H5"/>
    <mergeCell ref="E4:H4"/>
    <mergeCell ref="E3:H3"/>
    <mergeCell ref="E2:H2"/>
    <mergeCell ref="L5:N5"/>
    <mergeCell ref="B46:O46"/>
    <mergeCell ref="C40:O40"/>
    <mergeCell ref="C41:O41"/>
    <mergeCell ref="C42:O42"/>
    <mergeCell ref="C43:O43"/>
    <mergeCell ref="C44:O44"/>
    <mergeCell ref="C45:O45"/>
  </mergeCells>
  <phoneticPr fontId="0" type="noConversion"/>
  <pageMargins left="0.3923611111111111" right="0.3923611111111111" top="0.78541666666666665" bottom="0.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showOutlineSymbols="0" topLeftCell="A16" zoomScale="87" zoomScaleNormal="87" workbookViewId="0">
      <selection activeCell="P30" sqref="P30"/>
    </sheetView>
  </sheetViews>
  <sheetFormatPr baseColWidth="10" defaultColWidth="9.6640625" defaultRowHeight="15" x14ac:dyDescent="0.2"/>
  <cols>
    <col min="1" max="1" width="5.6640625" style="1" customWidth="1"/>
    <col min="2" max="12" width="10.77734375" style="1" customWidth="1"/>
    <col min="13" max="17" width="6.6640625" style="1" customWidth="1"/>
    <col min="18" max="18" width="5.6640625" style="1" customWidth="1"/>
    <col min="19" max="22" width="6.6640625" style="1" customWidth="1"/>
    <col min="23" max="16384" width="9.6640625" style="1"/>
  </cols>
  <sheetData>
    <row r="1" spans="1:256" ht="12" customHeight="1" x14ac:dyDescent="0.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x14ac:dyDescent="0.2">
      <c r="A2" s="1" t="s">
        <v>57</v>
      </c>
      <c r="E2" s="1" t="s">
        <v>29</v>
      </c>
      <c r="F2" s="1" t="s">
        <v>30</v>
      </c>
      <c r="G2" s="1">
        <v>0.13</v>
      </c>
    </row>
    <row r="3" spans="1:256" x14ac:dyDescent="0.2">
      <c r="E3" s="1" t="s">
        <v>33</v>
      </c>
      <c r="F3" s="1" t="s">
        <v>30</v>
      </c>
      <c r="G3" s="1">
        <v>0.21</v>
      </c>
    </row>
    <row r="4" spans="1:256" x14ac:dyDescent="0.2">
      <c r="E4" s="1" t="s">
        <v>34</v>
      </c>
      <c r="F4" s="1" t="s">
        <v>30</v>
      </c>
      <c r="G4" s="1">
        <v>0.34</v>
      </c>
    </row>
    <row r="5" spans="1:256" x14ac:dyDescent="0.2">
      <c r="E5" s="1" t="s">
        <v>35</v>
      </c>
      <c r="F5" s="1" t="s">
        <v>30</v>
      </c>
      <c r="G5" s="1">
        <v>0.49</v>
      </c>
    </row>
    <row r="7" spans="1:256" ht="45" x14ac:dyDescent="0.2">
      <c r="B7" s="4" t="s">
        <v>27</v>
      </c>
      <c r="C7" s="4" t="s">
        <v>28</v>
      </c>
      <c r="D7" s="4" t="s">
        <v>31</v>
      </c>
      <c r="E7" s="4" t="s">
        <v>32</v>
      </c>
      <c r="F7" s="4" t="s">
        <v>31</v>
      </c>
      <c r="G7" s="4" t="s">
        <v>38</v>
      </c>
      <c r="H7" s="4" t="s">
        <v>31</v>
      </c>
      <c r="I7" s="4" t="s">
        <v>37</v>
      </c>
      <c r="J7" s="4" t="s">
        <v>31</v>
      </c>
      <c r="K7" s="4" t="s">
        <v>36</v>
      </c>
      <c r="L7" s="4"/>
      <c r="M7" s="4"/>
    </row>
    <row r="8" spans="1:256" x14ac:dyDescent="0.2">
      <c r="B8" s="3">
        <v>0</v>
      </c>
      <c r="C8" s="3">
        <f>IF(B8&lt;0.65,1,IF(B8&lt;1.38,(1.47-0.723*B8),0.66/B8))</f>
        <v>1</v>
      </c>
      <c r="D8" s="3">
        <f>0.5*(1+$G$2*(B8-0.2)+B8^2)</f>
        <v>0.48699999999999999</v>
      </c>
      <c r="E8" s="5">
        <f>MIN(1/(D8+SQRT(D8^2-B8^2)),1)</f>
        <v>1</v>
      </c>
      <c r="F8" s="3">
        <f>0.5*(1+$G$3*(B8-0.2)+B8^2)</f>
        <v>0.47899999999999998</v>
      </c>
      <c r="G8" s="5">
        <f>MIN(1/(F8+SQRT(F8^2-B8^2)),1)</f>
        <v>1</v>
      </c>
      <c r="H8" s="3">
        <f>0.5*(1+$G$4*(B8-0.2)+B8^2)</f>
        <v>0.46599999999999997</v>
      </c>
      <c r="I8" s="5">
        <f>MIN(1/(H8+SQRT(H8^2-B8^2)),1)</f>
        <v>1</v>
      </c>
      <c r="J8" s="3">
        <f>0.5*(1+$G$5*(B8-0.2)+B8^2)</f>
        <v>0.45100000000000001</v>
      </c>
      <c r="K8" s="5">
        <f>MIN(1/(J8+SQRT(J8^2-B8^2)),1)</f>
        <v>1</v>
      </c>
    </row>
    <row r="9" spans="1:256" x14ac:dyDescent="0.2">
      <c r="B9" s="3">
        <f t="shared" ref="B9:B38" si="0">B8+0.1</f>
        <v>0.1</v>
      </c>
      <c r="C9" s="3">
        <f t="shared" ref="C9:C38" si="1">IF(B9&lt;0.65,1,IF(B9&lt;1.38,(1.47-0.723*B9),0.66/B9))</f>
        <v>1</v>
      </c>
      <c r="D9" s="3">
        <f t="shared" ref="D9:D38" si="2">0.5*(1+$G$2*(B9-0.2)+B9^2)</f>
        <v>0.4985</v>
      </c>
      <c r="E9" s="5">
        <f t="shared" ref="E9:E38" si="3">MIN(1/(D9+SQRT(D9^2-B9^2)),1)</f>
        <v>1</v>
      </c>
      <c r="F9" s="3">
        <f t="shared" ref="F9:F38" si="4">0.5*(1+$G$3*(B9-0.2)+B9^2)</f>
        <v>0.4945</v>
      </c>
      <c r="G9" s="5">
        <f t="shared" ref="G9:G38" si="5">MIN(1/(F9+SQRT(F9^2-B9^2)),1)</f>
        <v>1</v>
      </c>
      <c r="H9" s="3">
        <f t="shared" ref="H9:H38" si="6">0.5*(1+$G$4*(B9-0.2)+B9^2)</f>
        <v>0.48799999999999999</v>
      </c>
      <c r="I9" s="5">
        <f t="shared" ref="I9:I38" si="7">MIN(1/(H9+SQRT(H9^2-B9^2)),1)</f>
        <v>1</v>
      </c>
      <c r="J9" s="3">
        <f t="shared" ref="J9:J38" si="8">0.5*(1+$G$5*(B9-0.2)+B9^2)</f>
        <v>0.48049999999999998</v>
      </c>
      <c r="K9" s="5">
        <f t="shared" ref="K9:K38" si="9">MIN(1/(J9+SQRT(J9^2-B9^2)),1)</f>
        <v>1</v>
      </c>
    </row>
    <row r="10" spans="1:256" x14ac:dyDescent="0.2">
      <c r="B10" s="3">
        <f t="shared" si="0"/>
        <v>0.2</v>
      </c>
      <c r="C10" s="3">
        <f t="shared" si="1"/>
        <v>1</v>
      </c>
      <c r="D10" s="3">
        <f t="shared" si="2"/>
        <v>0.52</v>
      </c>
      <c r="E10" s="5">
        <f t="shared" si="3"/>
        <v>1</v>
      </c>
      <c r="F10" s="3">
        <f t="shared" si="4"/>
        <v>0.52</v>
      </c>
      <c r="G10" s="5">
        <f t="shared" si="5"/>
        <v>1</v>
      </c>
      <c r="H10" s="3">
        <f t="shared" si="6"/>
        <v>0.52</v>
      </c>
      <c r="I10" s="5">
        <f t="shared" si="7"/>
        <v>1</v>
      </c>
      <c r="J10" s="3">
        <f t="shared" si="8"/>
        <v>0.52</v>
      </c>
      <c r="K10" s="5">
        <f t="shared" si="9"/>
        <v>1</v>
      </c>
    </row>
    <row r="11" spans="1:256" x14ac:dyDescent="0.2">
      <c r="B11" s="3">
        <f t="shared" si="0"/>
        <v>0.30000000000000004</v>
      </c>
      <c r="C11" s="3">
        <f t="shared" si="1"/>
        <v>1</v>
      </c>
      <c r="D11" s="3">
        <f t="shared" si="2"/>
        <v>0.55149999999999999</v>
      </c>
      <c r="E11" s="5">
        <f t="shared" si="3"/>
        <v>0.98593478302229332</v>
      </c>
      <c r="F11" s="3">
        <f t="shared" si="4"/>
        <v>0.55549999999999999</v>
      </c>
      <c r="G11" s="5">
        <f t="shared" si="5"/>
        <v>0.97749258061596089</v>
      </c>
      <c r="H11" s="3">
        <f t="shared" si="6"/>
        <v>0.56200000000000006</v>
      </c>
      <c r="I11" s="5">
        <f t="shared" si="7"/>
        <v>0.96410588440475919</v>
      </c>
      <c r="J11" s="3">
        <f t="shared" si="8"/>
        <v>0.56950000000000001</v>
      </c>
      <c r="K11" s="5">
        <f t="shared" si="9"/>
        <v>0.94914779479631606</v>
      </c>
    </row>
    <row r="12" spans="1:256" x14ac:dyDescent="0.2">
      <c r="B12" s="3">
        <f t="shared" si="0"/>
        <v>0.4</v>
      </c>
      <c r="C12" s="3">
        <f t="shared" si="1"/>
        <v>1</v>
      </c>
      <c r="D12" s="3">
        <f t="shared" si="2"/>
        <v>0.59299999999999997</v>
      </c>
      <c r="E12" s="5">
        <f t="shared" si="3"/>
        <v>0.97014162084174738</v>
      </c>
      <c r="F12" s="3">
        <f t="shared" si="4"/>
        <v>0.60099999999999998</v>
      </c>
      <c r="G12" s="5">
        <f t="shared" si="5"/>
        <v>0.95278534666477388</v>
      </c>
      <c r="H12" s="3">
        <f t="shared" si="6"/>
        <v>0.6140000000000001</v>
      </c>
      <c r="I12" s="5">
        <f t="shared" si="7"/>
        <v>0.92607315908505083</v>
      </c>
      <c r="J12" s="3">
        <f t="shared" si="8"/>
        <v>0.629</v>
      </c>
      <c r="K12" s="5">
        <f t="shared" si="9"/>
        <v>0.89732077167248336</v>
      </c>
    </row>
    <row r="13" spans="1:256" x14ac:dyDescent="0.2">
      <c r="B13" s="3">
        <f t="shared" si="0"/>
        <v>0.5</v>
      </c>
      <c r="C13" s="3">
        <f t="shared" si="1"/>
        <v>1</v>
      </c>
      <c r="D13" s="3">
        <f t="shared" si="2"/>
        <v>0.64449999999999996</v>
      </c>
      <c r="E13" s="5">
        <f t="shared" si="3"/>
        <v>0.95132117490882684</v>
      </c>
      <c r="F13" s="3">
        <f t="shared" si="4"/>
        <v>0.65649999999999997</v>
      </c>
      <c r="G13" s="5">
        <f t="shared" si="5"/>
        <v>0.92427264228372952</v>
      </c>
      <c r="H13" s="3">
        <f t="shared" si="6"/>
        <v>0.67600000000000005</v>
      </c>
      <c r="I13" s="5">
        <f t="shared" si="7"/>
        <v>0.88421539736154475</v>
      </c>
      <c r="J13" s="3">
        <f t="shared" si="8"/>
        <v>0.69850000000000001</v>
      </c>
      <c r="K13" s="5">
        <f t="shared" si="9"/>
        <v>0.84299103026152122</v>
      </c>
    </row>
    <row r="14" spans="1:256" x14ac:dyDescent="0.2">
      <c r="B14" s="3">
        <f t="shared" si="0"/>
        <v>0.6</v>
      </c>
      <c r="C14" s="3">
        <f t="shared" si="1"/>
        <v>1</v>
      </c>
      <c r="D14" s="3">
        <f t="shared" si="2"/>
        <v>0.70599999999999996</v>
      </c>
      <c r="E14" s="5">
        <f t="shared" si="3"/>
        <v>0.92758365025403311</v>
      </c>
      <c r="F14" s="3">
        <f t="shared" si="4"/>
        <v>0.72199999999999998</v>
      </c>
      <c r="G14" s="5">
        <f t="shared" si="5"/>
        <v>0.88999501993143471</v>
      </c>
      <c r="H14" s="3">
        <f t="shared" si="6"/>
        <v>0.748</v>
      </c>
      <c r="I14" s="5">
        <f t="shared" si="7"/>
        <v>0.83705914889797295</v>
      </c>
      <c r="J14" s="3">
        <f t="shared" si="8"/>
        <v>0.77800000000000002</v>
      </c>
      <c r="K14" s="5">
        <f t="shared" si="9"/>
        <v>0.78538459148952455</v>
      </c>
    </row>
    <row r="15" spans="1:256" x14ac:dyDescent="0.2">
      <c r="B15" s="3">
        <f t="shared" si="0"/>
        <v>0.7</v>
      </c>
      <c r="C15" s="3">
        <f t="shared" si="1"/>
        <v>0.96389999999999998</v>
      </c>
      <c r="D15" s="3">
        <f t="shared" si="2"/>
        <v>0.77749999999999997</v>
      </c>
      <c r="E15" s="5">
        <f t="shared" si="3"/>
        <v>0.89614750732970239</v>
      </c>
      <c r="F15" s="3">
        <f t="shared" si="4"/>
        <v>0.79749999999999999</v>
      </c>
      <c r="G15" s="5">
        <f t="shared" si="5"/>
        <v>0.84773950632220074</v>
      </c>
      <c r="H15" s="3">
        <f t="shared" si="6"/>
        <v>0.83</v>
      </c>
      <c r="I15" s="5">
        <f t="shared" si="7"/>
        <v>0.78371007669478532</v>
      </c>
      <c r="J15" s="3">
        <f t="shared" si="8"/>
        <v>0.86749999999999994</v>
      </c>
      <c r="K15" s="5">
        <f t="shared" si="9"/>
        <v>0.72468891890484077</v>
      </c>
    </row>
    <row r="16" spans="1:256" x14ac:dyDescent="0.2">
      <c r="B16" s="3">
        <f t="shared" si="0"/>
        <v>0.79999999999999993</v>
      </c>
      <c r="C16" s="3">
        <f t="shared" si="1"/>
        <v>0.89160000000000006</v>
      </c>
      <c r="D16" s="3">
        <f t="shared" si="2"/>
        <v>0.85899999999999999</v>
      </c>
      <c r="E16" s="5">
        <f t="shared" si="3"/>
        <v>0.85334469790892897</v>
      </c>
      <c r="F16" s="3">
        <f t="shared" si="4"/>
        <v>0.8829999999999999</v>
      </c>
      <c r="G16" s="5">
        <f t="shared" si="5"/>
        <v>0.79570325564382749</v>
      </c>
      <c r="H16" s="3">
        <f t="shared" si="6"/>
        <v>0.92199999999999993</v>
      </c>
      <c r="I16" s="5">
        <f t="shared" si="7"/>
        <v>0.72445435649036838</v>
      </c>
      <c r="J16" s="3">
        <f t="shared" si="8"/>
        <v>0.96699999999999997</v>
      </c>
      <c r="K16" s="5">
        <f t="shared" si="9"/>
        <v>0.66215476637127557</v>
      </c>
    </row>
    <row r="17" spans="2:11" x14ac:dyDescent="0.2">
      <c r="B17" s="3">
        <f t="shared" si="0"/>
        <v>0.89999999999999991</v>
      </c>
      <c r="C17" s="3">
        <f t="shared" si="1"/>
        <v>0.81930000000000003</v>
      </c>
      <c r="D17" s="3">
        <f t="shared" si="2"/>
        <v>0.9504999999999999</v>
      </c>
      <c r="E17" s="5">
        <f t="shared" si="3"/>
        <v>0.7960539058574797</v>
      </c>
      <c r="F17" s="3">
        <f t="shared" si="4"/>
        <v>0.97849999999999993</v>
      </c>
      <c r="G17" s="5">
        <f t="shared" si="5"/>
        <v>0.73394057045110916</v>
      </c>
      <c r="H17" s="3">
        <f t="shared" si="6"/>
        <v>1.024</v>
      </c>
      <c r="I17" s="5">
        <f t="shared" si="7"/>
        <v>0.66118219456787597</v>
      </c>
      <c r="J17" s="3">
        <f t="shared" si="8"/>
        <v>1.0764999999999998</v>
      </c>
      <c r="K17" s="5">
        <f t="shared" si="9"/>
        <v>0.59983067165486181</v>
      </c>
    </row>
    <row r="18" spans="2:11" x14ac:dyDescent="0.2">
      <c r="B18" s="3">
        <f t="shared" si="0"/>
        <v>0.99999999999999989</v>
      </c>
      <c r="C18" s="3">
        <f t="shared" si="1"/>
        <v>0.74700000000000011</v>
      </c>
      <c r="D18" s="3">
        <f t="shared" si="2"/>
        <v>1.052</v>
      </c>
      <c r="E18" s="5">
        <f t="shared" si="3"/>
        <v>0.72534421786841086</v>
      </c>
      <c r="F18" s="3">
        <f t="shared" si="4"/>
        <v>1.0839999999999999</v>
      </c>
      <c r="G18" s="5">
        <f t="shared" si="5"/>
        <v>0.66560305928460728</v>
      </c>
      <c r="H18" s="3">
        <f t="shared" si="6"/>
        <v>1.1359999999999999</v>
      </c>
      <c r="I18" s="5">
        <f t="shared" si="7"/>
        <v>0.59702319159355288</v>
      </c>
      <c r="J18" s="3">
        <f t="shared" si="8"/>
        <v>1.1959999999999997</v>
      </c>
      <c r="K18" s="5">
        <f t="shared" si="9"/>
        <v>0.53993902722384124</v>
      </c>
    </row>
    <row r="19" spans="2:11" x14ac:dyDescent="0.2">
      <c r="B19" s="3">
        <f t="shared" si="0"/>
        <v>1.0999999999999999</v>
      </c>
      <c r="C19" s="3">
        <f t="shared" si="1"/>
        <v>0.67470000000000008</v>
      </c>
      <c r="D19" s="3">
        <f t="shared" si="2"/>
        <v>1.1635</v>
      </c>
      <c r="E19" s="5">
        <f t="shared" si="3"/>
        <v>0.64824763349327896</v>
      </c>
      <c r="F19" s="3">
        <f t="shared" si="4"/>
        <v>1.1995</v>
      </c>
      <c r="G19" s="5">
        <f t="shared" si="5"/>
        <v>0.59600769334742743</v>
      </c>
      <c r="H19" s="3">
        <f t="shared" si="6"/>
        <v>1.258</v>
      </c>
      <c r="I19" s="5">
        <f t="shared" si="7"/>
        <v>0.53522296745642239</v>
      </c>
      <c r="J19" s="3">
        <f t="shared" si="8"/>
        <v>1.3254999999999999</v>
      </c>
      <c r="K19" s="5">
        <f t="shared" si="9"/>
        <v>0.48424723188140989</v>
      </c>
    </row>
    <row r="20" spans="2:11" x14ac:dyDescent="0.2">
      <c r="B20" s="3">
        <f t="shared" si="0"/>
        <v>1.2</v>
      </c>
      <c r="C20" s="3">
        <f t="shared" si="1"/>
        <v>0.60240000000000005</v>
      </c>
      <c r="D20" s="3">
        <f t="shared" si="2"/>
        <v>1.2849999999999999</v>
      </c>
      <c r="E20" s="5">
        <f t="shared" si="3"/>
        <v>0.57319985378338922</v>
      </c>
      <c r="F20" s="3">
        <f t="shared" si="4"/>
        <v>1.325</v>
      </c>
      <c r="G20" s="5">
        <f t="shared" si="5"/>
        <v>0.52999644003048207</v>
      </c>
      <c r="H20" s="3">
        <f t="shared" si="6"/>
        <v>1.3900000000000001</v>
      </c>
      <c r="I20" s="5">
        <f t="shared" si="7"/>
        <v>0.4781261136862337</v>
      </c>
      <c r="J20" s="3">
        <f t="shared" si="8"/>
        <v>1.4649999999999999</v>
      </c>
      <c r="K20" s="5">
        <f t="shared" si="9"/>
        <v>0.43376948509443325</v>
      </c>
    </row>
    <row r="21" spans="2:11" x14ac:dyDescent="0.2">
      <c r="B21" s="3">
        <f t="shared" si="0"/>
        <v>1.3</v>
      </c>
      <c r="C21" s="3">
        <f t="shared" si="1"/>
        <v>0.53010000000000002</v>
      </c>
      <c r="D21" s="3">
        <f t="shared" si="2"/>
        <v>1.4165000000000001</v>
      </c>
      <c r="E21" s="5">
        <f t="shared" si="3"/>
        <v>0.50529073159311966</v>
      </c>
      <c r="F21" s="3">
        <f t="shared" si="4"/>
        <v>1.4605000000000001</v>
      </c>
      <c r="G21" s="5">
        <f t="shared" si="5"/>
        <v>0.47033863238929946</v>
      </c>
      <c r="H21" s="3">
        <f t="shared" si="6"/>
        <v>1.532</v>
      </c>
      <c r="I21" s="5">
        <f t="shared" si="7"/>
        <v>0.42688155639326525</v>
      </c>
      <c r="J21" s="3">
        <f t="shared" si="8"/>
        <v>1.6145</v>
      </c>
      <c r="K21" s="5">
        <f t="shared" si="9"/>
        <v>0.38881796173980432</v>
      </c>
    </row>
    <row r="22" spans="2:11" x14ac:dyDescent="0.2">
      <c r="B22" s="3">
        <f t="shared" si="0"/>
        <v>1.4000000000000001</v>
      </c>
      <c r="C22" s="3">
        <f t="shared" si="1"/>
        <v>0.47142857142857142</v>
      </c>
      <c r="D22" s="3">
        <f t="shared" si="2"/>
        <v>1.5580000000000003</v>
      </c>
      <c r="E22" s="5">
        <f t="shared" si="3"/>
        <v>0.44610191006368127</v>
      </c>
      <c r="F22" s="3">
        <f t="shared" si="4"/>
        <v>1.6060000000000003</v>
      </c>
      <c r="G22" s="5">
        <f t="shared" si="5"/>
        <v>0.41790025644422574</v>
      </c>
      <c r="H22" s="3">
        <f t="shared" si="6"/>
        <v>1.6840000000000002</v>
      </c>
      <c r="I22" s="5">
        <f t="shared" si="7"/>
        <v>0.38169806832123415</v>
      </c>
      <c r="J22" s="3">
        <f t="shared" si="8"/>
        <v>1.7740000000000002</v>
      </c>
      <c r="K22" s="5">
        <f t="shared" si="9"/>
        <v>0.34921929899281368</v>
      </c>
    </row>
    <row r="23" spans="2:11" x14ac:dyDescent="0.2">
      <c r="B23" s="3">
        <f t="shared" si="0"/>
        <v>1.5000000000000002</v>
      </c>
      <c r="C23" s="3">
        <f t="shared" si="1"/>
        <v>0.43999999999999995</v>
      </c>
      <c r="D23" s="3">
        <f t="shared" si="2"/>
        <v>1.7095000000000005</v>
      </c>
      <c r="E23" s="5">
        <f t="shared" si="3"/>
        <v>0.39533597561933448</v>
      </c>
      <c r="F23" s="3">
        <f t="shared" si="4"/>
        <v>1.7615000000000005</v>
      </c>
      <c r="G23" s="5">
        <f t="shared" si="5"/>
        <v>0.37243722559437292</v>
      </c>
      <c r="H23" s="3">
        <f t="shared" si="6"/>
        <v>1.8460000000000005</v>
      </c>
      <c r="I23" s="5">
        <f t="shared" si="7"/>
        <v>0.34223461395649979</v>
      </c>
      <c r="J23" s="3">
        <f t="shared" si="8"/>
        <v>1.9435000000000004</v>
      </c>
      <c r="K23" s="5">
        <f t="shared" si="9"/>
        <v>0.31453502185079085</v>
      </c>
    </row>
    <row r="24" spans="2:11" x14ac:dyDescent="0.2">
      <c r="B24" s="3">
        <f t="shared" si="0"/>
        <v>1.6000000000000003</v>
      </c>
      <c r="C24" s="3">
        <f t="shared" si="1"/>
        <v>0.41249999999999992</v>
      </c>
      <c r="D24" s="3">
        <f t="shared" si="2"/>
        <v>1.8710000000000004</v>
      </c>
      <c r="E24" s="5">
        <f t="shared" si="3"/>
        <v>0.3520052790403671</v>
      </c>
      <c r="F24" s="3">
        <f t="shared" si="4"/>
        <v>1.9270000000000005</v>
      </c>
      <c r="G24" s="5">
        <f t="shared" si="5"/>
        <v>0.33322985856824489</v>
      </c>
      <c r="H24" s="3">
        <f t="shared" si="6"/>
        <v>2.0180000000000007</v>
      </c>
      <c r="I24" s="5">
        <f t="shared" si="7"/>
        <v>0.30790397212191112</v>
      </c>
      <c r="J24" s="3">
        <f t="shared" si="8"/>
        <v>2.1230000000000007</v>
      </c>
      <c r="K24" s="5">
        <f t="shared" si="9"/>
        <v>0.28422045202358309</v>
      </c>
    </row>
    <row r="25" spans="2:11" x14ac:dyDescent="0.2">
      <c r="B25" s="3">
        <f t="shared" si="0"/>
        <v>1.7000000000000004</v>
      </c>
      <c r="C25" s="3">
        <f t="shared" si="1"/>
        <v>0.38823529411764701</v>
      </c>
      <c r="D25" s="3">
        <f t="shared" si="2"/>
        <v>2.0425000000000009</v>
      </c>
      <c r="E25" s="5">
        <f t="shared" si="3"/>
        <v>0.31499348589967424</v>
      </c>
      <c r="F25" s="3">
        <f t="shared" si="4"/>
        <v>2.1025000000000009</v>
      </c>
      <c r="G25" s="5">
        <f t="shared" si="5"/>
        <v>0.29943380270109732</v>
      </c>
      <c r="H25" s="3">
        <f t="shared" si="6"/>
        <v>2.2000000000000011</v>
      </c>
      <c r="I25" s="5">
        <f t="shared" si="7"/>
        <v>0.27805397772425794</v>
      </c>
      <c r="J25" s="3">
        <f t="shared" si="8"/>
        <v>2.3125000000000009</v>
      </c>
      <c r="K25" s="5">
        <f t="shared" si="9"/>
        <v>0.25771924710128696</v>
      </c>
    </row>
    <row r="26" spans="2:11" x14ac:dyDescent="0.2">
      <c r="B26" s="3">
        <f t="shared" si="0"/>
        <v>1.8000000000000005</v>
      </c>
      <c r="C26" s="3">
        <f t="shared" si="1"/>
        <v>0.36666666666666659</v>
      </c>
      <c r="D26" s="3">
        <f t="shared" si="2"/>
        <v>2.2240000000000011</v>
      </c>
      <c r="E26" s="5">
        <f t="shared" si="3"/>
        <v>0.28326953031756202</v>
      </c>
      <c r="F26" s="3">
        <f t="shared" si="4"/>
        <v>2.2880000000000007</v>
      </c>
      <c r="G26" s="5">
        <f t="shared" si="5"/>
        <v>0.27023923911780057</v>
      </c>
      <c r="H26" s="3">
        <f t="shared" si="6"/>
        <v>2.3920000000000008</v>
      </c>
      <c r="I26" s="5">
        <f t="shared" si="7"/>
        <v>0.25205870162379812</v>
      </c>
      <c r="J26" s="3">
        <f t="shared" si="8"/>
        <v>2.5120000000000009</v>
      </c>
      <c r="K26" s="5">
        <f t="shared" si="9"/>
        <v>0.2345115312092142</v>
      </c>
    </row>
    <row r="27" spans="2:11" x14ac:dyDescent="0.2">
      <c r="B27" s="3">
        <f t="shared" si="0"/>
        <v>1.9000000000000006</v>
      </c>
      <c r="C27" s="3">
        <f t="shared" si="1"/>
        <v>0.34736842105263149</v>
      </c>
      <c r="D27" s="3">
        <f t="shared" si="2"/>
        <v>2.4155000000000011</v>
      </c>
      <c r="E27" s="5">
        <f t="shared" si="3"/>
        <v>0.25594936408063429</v>
      </c>
      <c r="F27" s="3">
        <f t="shared" si="4"/>
        <v>2.4835000000000012</v>
      </c>
      <c r="G27" s="5">
        <f t="shared" si="5"/>
        <v>0.24492972947249564</v>
      </c>
      <c r="H27" s="3">
        <f t="shared" si="6"/>
        <v>2.5940000000000012</v>
      </c>
      <c r="I27" s="5">
        <f t="shared" si="7"/>
        <v>0.22935660667274879</v>
      </c>
      <c r="J27" s="3">
        <f t="shared" si="8"/>
        <v>2.7215000000000011</v>
      </c>
      <c r="K27" s="5">
        <f t="shared" si="9"/>
        <v>0.21413382128118791</v>
      </c>
    </row>
    <row r="28" spans="2:11" x14ac:dyDescent="0.2">
      <c r="B28" s="3">
        <f t="shared" si="0"/>
        <v>2.0000000000000004</v>
      </c>
      <c r="C28" s="3">
        <f t="shared" si="1"/>
        <v>0.32999999999999996</v>
      </c>
      <c r="D28" s="3">
        <f t="shared" si="2"/>
        <v>2.6170000000000009</v>
      </c>
      <c r="E28" s="5">
        <f t="shared" si="3"/>
        <v>0.23229850693474247</v>
      </c>
      <c r="F28" s="3">
        <f t="shared" si="4"/>
        <v>2.6890000000000009</v>
      </c>
      <c r="G28" s="5">
        <f t="shared" si="5"/>
        <v>0.2228948370164196</v>
      </c>
      <c r="H28" s="3">
        <f t="shared" si="6"/>
        <v>2.8060000000000009</v>
      </c>
      <c r="I28" s="5">
        <f t="shared" si="7"/>
        <v>0.20946112958425722</v>
      </c>
      <c r="J28" s="3">
        <f t="shared" si="8"/>
        <v>2.9410000000000007</v>
      </c>
      <c r="K28" s="5">
        <f t="shared" si="9"/>
        <v>0.19618361957918387</v>
      </c>
    </row>
    <row r="29" spans="2:11" x14ac:dyDescent="0.2">
      <c r="B29" s="3">
        <f t="shared" si="0"/>
        <v>2.1000000000000005</v>
      </c>
      <c r="C29" s="3">
        <f t="shared" si="1"/>
        <v>0.31428571428571422</v>
      </c>
      <c r="D29" s="3">
        <f t="shared" si="2"/>
        <v>2.8285000000000009</v>
      </c>
      <c r="E29" s="5">
        <f t="shared" si="3"/>
        <v>0.2117146672016216</v>
      </c>
      <c r="F29" s="3">
        <f t="shared" si="4"/>
        <v>2.904500000000001</v>
      </c>
      <c r="G29" s="5">
        <f t="shared" si="5"/>
        <v>0.20362371049066638</v>
      </c>
      <c r="H29" s="3">
        <f t="shared" si="6"/>
        <v>3.0280000000000014</v>
      </c>
      <c r="I29" s="5">
        <f t="shared" si="7"/>
        <v>0.19195833814422761</v>
      </c>
      <c r="J29" s="3">
        <f t="shared" si="8"/>
        <v>3.170500000000001</v>
      </c>
      <c r="K29" s="5">
        <f t="shared" si="9"/>
        <v>0.18031649803385652</v>
      </c>
    </row>
    <row r="30" spans="2:11" x14ac:dyDescent="0.2">
      <c r="B30" s="3">
        <f t="shared" si="0"/>
        <v>2.2000000000000006</v>
      </c>
      <c r="C30" s="3">
        <f t="shared" si="1"/>
        <v>0.29999999999999993</v>
      </c>
      <c r="D30" s="3">
        <f t="shared" si="2"/>
        <v>3.0500000000000012</v>
      </c>
      <c r="E30" s="5">
        <f t="shared" si="3"/>
        <v>0.19370598813476009</v>
      </c>
      <c r="F30" s="3">
        <f t="shared" si="4"/>
        <v>3.1300000000000012</v>
      </c>
      <c r="G30" s="5">
        <f t="shared" si="5"/>
        <v>0.18669221780841705</v>
      </c>
      <c r="H30" s="3">
        <f t="shared" si="6"/>
        <v>3.2600000000000016</v>
      </c>
      <c r="I30" s="5">
        <f t="shared" si="7"/>
        <v>0.17649935362965691</v>
      </c>
      <c r="J30" s="3">
        <f t="shared" si="8"/>
        <v>3.4100000000000015</v>
      </c>
      <c r="K30" s="5">
        <f t="shared" si="9"/>
        <v>0.16624003262149939</v>
      </c>
    </row>
    <row r="31" spans="2:11" x14ac:dyDescent="0.2">
      <c r="B31" s="3">
        <f t="shared" si="0"/>
        <v>2.3000000000000007</v>
      </c>
      <c r="C31" s="3">
        <f t="shared" si="1"/>
        <v>0.28695652173913033</v>
      </c>
      <c r="D31" s="3">
        <f t="shared" si="2"/>
        <v>3.2815000000000021</v>
      </c>
      <c r="E31" s="5">
        <f t="shared" si="3"/>
        <v>0.17787060203405283</v>
      </c>
      <c r="F31" s="3">
        <f t="shared" si="4"/>
        <v>3.3655000000000017</v>
      </c>
      <c r="G31" s="5">
        <f t="shared" si="5"/>
        <v>0.17174908435574596</v>
      </c>
      <c r="H31" s="3">
        <f t="shared" si="6"/>
        <v>3.502000000000002</v>
      </c>
      <c r="I31" s="5">
        <f t="shared" si="7"/>
        <v>0.16279131206278011</v>
      </c>
      <c r="J31" s="3">
        <f t="shared" si="8"/>
        <v>3.6595000000000018</v>
      </c>
      <c r="K31" s="5">
        <f t="shared" si="9"/>
        <v>0.15370685426826841</v>
      </c>
    </row>
    <row r="32" spans="2:11" x14ac:dyDescent="0.2">
      <c r="B32" s="3">
        <f t="shared" si="0"/>
        <v>2.4000000000000008</v>
      </c>
      <c r="C32" s="3">
        <f t="shared" si="1"/>
        <v>0.27499999999999991</v>
      </c>
      <c r="D32" s="3">
        <f t="shared" si="2"/>
        <v>3.5230000000000024</v>
      </c>
      <c r="E32" s="5">
        <f t="shared" si="3"/>
        <v>0.16387919531410022</v>
      </c>
      <c r="F32" s="3">
        <f t="shared" si="4"/>
        <v>3.6110000000000024</v>
      </c>
      <c r="G32" s="5">
        <f t="shared" si="5"/>
        <v>0.15850318009707981</v>
      </c>
      <c r="H32" s="3">
        <f t="shared" si="6"/>
        <v>3.7540000000000022</v>
      </c>
      <c r="I32" s="5">
        <f t="shared" si="7"/>
        <v>0.15058858052243951</v>
      </c>
      <c r="J32" s="3">
        <f t="shared" si="8"/>
        <v>3.9190000000000023</v>
      </c>
      <c r="K32" s="5">
        <f t="shared" si="9"/>
        <v>0.1425079078755726</v>
      </c>
    </row>
    <row r="33" spans="2:11" x14ac:dyDescent="0.2">
      <c r="B33" s="3">
        <f t="shared" si="0"/>
        <v>2.5000000000000009</v>
      </c>
      <c r="C33" s="3">
        <f t="shared" si="1"/>
        <v>0.2639999999999999</v>
      </c>
      <c r="D33" s="3">
        <f t="shared" si="2"/>
        <v>3.7745000000000024</v>
      </c>
      <c r="E33" s="5">
        <f t="shared" si="3"/>
        <v>0.15146075719463958</v>
      </c>
      <c r="F33" s="3">
        <f t="shared" si="4"/>
        <v>3.866500000000002</v>
      </c>
      <c r="G33" s="5">
        <f t="shared" si="5"/>
        <v>0.14671262253605155</v>
      </c>
      <c r="H33" s="3">
        <f t="shared" si="6"/>
        <v>4.0160000000000027</v>
      </c>
      <c r="I33" s="5">
        <f t="shared" si="7"/>
        <v>0.13968491252797172</v>
      </c>
      <c r="J33" s="3">
        <f t="shared" si="8"/>
        <v>4.1885000000000021</v>
      </c>
      <c r="K33" s="5">
        <f t="shared" si="9"/>
        <v>0.13246638315114798</v>
      </c>
    </row>
    <row r="34" spans="2:11" x14ac:dyDescent="0.2">
      <c r="B34" s="3">
        <f t="shared" si="0"/>
        <v>2.600000000000001</v>
      </c>
      <c r="C34" s="3">
        <f t="shared" si="1"/>
        <v>0.25384615384615378</v>
      </c>
      <c r="D34" s="3">
        <f t="shared" si="2"/>
        <v>4.0360000000000023</v>
      </c>
      <c r="E34" s="5">
        <f t="shared" si="3"/>
        <v>0.14039115650943229</v>
      </c>
      <c r="F34" s="3">
        <f t="shared" si="4"/>
        <v>4.1320000000000023</v>
      </c>
      <c r="G34" s="5">
        <f t="shared" si="5"/>
        <v>0.13617573845433487</v>
      </c>
      <c r="H34" s="3">
        <f t="shared" si="6"/>
        <v>4.2880000000000029</v>
      </c>
      <c r="I34" s="5">
        <f t="shared" si="7"/>
        <v>0.12990673160934971</v>
      </c>
      <c r="J34" s="3">
        <f t="shared" si="8"/>
        <v>4.4680000000000026</v>
      </c>
      <c r="K34" s="5">
        <f t="shared" si="9"/>
        <v>0.12343246074140925</v>
      </c>
    </row>
    <row r="35" spans="2:11" x14ac:dyDescent="0.2">
      <c r="B35" s="3">
        <f t="shared" si="0"/>
        <v>2.7000000000000011</v>
      </c>
      <c r="C35" s="3">
        <f t="shared" si="1"/>
        <v>0.24444444444444435</v>
      </c>
      <c r="D35" s="3">
        <f t="shared" si="2"/>
        <v>4.3075000000000028</v>
      </c>
      <c r="E35" s="5">
        <f t="shared" si="3"/>
        <v>0.13048406276700955</v>
      </c>
      <c r="F35" s="3">
        <f t="shared" si="4"/>
        <v>4.4075000000000024</v>
      </c>
      <c r="G35" s="5">
        <f t="shared" si="5"/>
        <v>0.12672369101137249</v>
      </c>
      <c r="H35" s="3">
        <f t="shared" si="6"/>
        <v>4.5700000000000029</v>
      </c>
      <c r="I35" s="5">
        <f t="shared" si="7"/>
        <v>0.12110750998000286</v>
      </c>
      <c r="J35" s="3">
        <f t="shared" si="8"/>
        <v>4.7575000000000029</v>
      </c>
      <c r="K35" s="5">
        <f t="shared" si="9"/>
        <v>0.11527886364471329</v>
      </c>
    </row>
    <row r="36" spans="2:11" x14ac:dyDescent="0.2">
      <c r="B36" s="3">
        <f t="shared" si="0"/>
        <v>2.8000000000000012</v>
      </c>
      <c r="C36" s="3">
        <f t="shared" si="1"/>
        <v>0.23571428571428563</v>
      </c>
      <c r="D36" s="3">
        <f t="shared" si="2"/>
        <v>4.5890000000000031</v>
      </c>
      <c r="E36" s="5">
        <f t="shared" si="3"/>
        <v>0.12158374880221817</v>
      </c>
      <c r="F36" s="3">
        <f t="shared" si="4"/>
        <v>4.6930000000000032</v>
      </c>
      <c r="G36" s="5">
        <f t="shared" si="5"/>
        <v>0.11821451330258688</v>
      </c>
      <c r="H36" s="3">
        <f t="shared" si="6"/>
        <v>4.8620000000000037</v>
      </c>
      <c r="I36" s="5">
        <f t="shared" si="7"/>
        <v>0.11316312154329393</v>
      </c>
      <c r="J36" s="3">
        <f t="shared" si="8"/>
        <v>5.057000000000003</v>
      </c>
      <c r="K36" s="5">
        <f t="shared" si="9"/>
        <v>0.10789713783312539</v>
      </c>
    </row>
    <row r="37" spans="2:11" x14ac:dyDescent="0.2">
      <c r="B37" s="3">
        <f t="shared" si="0"/>
        <v>2.9000000000000012</v>
      </c>
      <c r="C37" s="3">
        <f t="shared" si="1"/>
        <v>0.22758620689655162</v>
      </c>
      <c r="D37" s="3">
        <f t="shared" si="2"/>
        <v>4.8805000000000041</v>
      </c>
      <c r="E37" s="5">
        <f t="shared" si="3"/>
        <v>0.11355938057956537</v>
      </c>
      <c r="F37" s="3">
        <f t="shared" si="4"/>
        <v>4.9885000000000037</v>
      </c>
      <c r="G37" s="5">
        <f t="shared" si="5"/>
        <v>0.11052829492461788</v>
      </c>
      <c r="H37" s="3">
        <f t="shared" si="6"/>
        <v>5.1640000000000041</v>
      </c>
      <c r="I37" s="5">
        <f t="shared" si="7"/>
        <v>0.10596802471112544</v>
      </c>
      <c r="J37" s="3">
        <f t="shared" si="8"/>
        <v>5.3665000000000038</v>
      </c>
      <c r="K37" s="5">
        <f t="shared" si="9"/>
        <v>0.10119456423965383</v>
      </c>
    </row>
    <row r="38" spans="2:11" x14ac:dyDescent="0.2">
      <c r="B38" s="3">
        <f t="shared" si="0"/>
        <v>3.0000000000000013</v>
      </c>
      <c r="C38" s="3">
        <f t="shared" si="1"/>
        <v>0.21999999999999992</v>
      </c>
      <c r="D38" s="3">
        <f t="shared" si="2"/>
        <v>5.1820000000000039</v>
      </c>
      <c r="E38" s="5">
        <f t="shared" si="3"/>
        <v>0.10630047452275883</v>
      </c>
      <c r="F38" s="3">
        <f t="shared" si="4"/>
        <v>5.294000000000004</v>
      </c>
      <c r="G38" s="5">
        <f t="shared" si="5"/>
        <v>0.10356329926202504</v>
      </c>
      <c r="H38" s="3">
        <f t="shared" si="6"/>
        <v>5.4760000000000035</v>
      </c>
      <c r="I38" s="5">
        <f t="shared" si="7"/>
        <v>9.9432135296426291E-2</v>
      </c>
      <c r="J38" s="3">
        <f t="shared" si="8"/>
        <v>5.6860000000000035</v>
      </c>
      <c r="K38" s="5">
        <f t="shared" si="9"/>
        <v>9.5091603759184198E-2</v>
      </c>
    </row>
  </sheetData>
  <sheetProtection password="D4BE" sheet="1" objects="1" scenarios="1" selectLockedCells="1"/>
  <phoneticPr fontId="0" type="noConversion"/>
  <pageMargins left="0.3923611111111111" right="0.3923611111111111" top="0.78541666666666665" bottom="0.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compression force in the flange</vt:lpstr>
      <vt:lpstr>buckling curves</vt:lpstr>
      <vt:lpstr>'compression force in the flange'!OLE_LINK1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Rainer_Admin</dc:creator>
  <dc:description>Berechnung der Obergurt-Drucktraglasten für verschiedene Verbindungsabstände, Profilpalette Salzgitter-Bauelemente</dc:description>
  <cp:lastModifiedBy>Fauth, Christian</cp:lastModifiedBy>
  <cp:lastPrinted>2016-09-02T14:33:58Z</cp:lastPrinted>
  <dcterms:created xsi:type="dcterms:W3CDTF">2016-07-24T01:47:43Z</dcterms:created>
  <dcterms:modified xsi:type="dcterms:W3CDTF">2016-09-02T14:34:10Z</dcterms:modified>
</cp:coreProperties>
</file>