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workbookProtection workbookPassword="DDF1" lockStructure="1"/>
  <bookViews>
    <workbookView xWindow="0" yWindow="0" windowWidth="25600" windowHeight="16060" tabRatio="890"/>
  </bookViews>
  <sheets>
    <sheet name="data" sheetId="55" r:id="rId1"/>
    <sheet name="données" sheetId="7" state="hidden" r:id="rId2"/>
    <sheet name="largeur_eff_semelle" sheetId="1" state="hidden" r:id="rId3"/>
    <sheet name="raidisseur" sheetId="2" state="hidden" r:id="rId4"/>
    <sheet name="largeur_eff_semelle bis" sheetId="38" state="hidden" r:id="rId5"/>
    <sheet name="largeur_eff_ame" sheetId="3" state="hidden" r:id="rId6"/>
    <sheet name="raidisseur (bis)" sheetId="46" state="hidden" r:id="rId7"/>
    <sheet name="résistance_section" sheetId="6" state="hidden" r:id="rId8"/>
    <sheet name="largeur_eff_semelle (2)" sheetId="26" state="hidden" r:id="rId9"/>
    <sheet name="raidisseur (2)" sheetId="35" state="hidden" r:id="rId10"/>
    <sheet name="largeur_eff_semelle bis (2)" sheetId="39" state="hidden" r:id="rId11"/>
    <sheet name="raidisseurbis (2)" sheetId="47" state="hidden" r:id="rId12"/>
    <sheet name="largeur_eff_ame (2)" sheetId="36" state="hidden" r:id="rId13"/>
    <sheet name="résistance_section (2)" sheetId="40" state="hidden" r:id="rId14"/>
    <sheet name="largeur_eff_semelle (3)" sheetId="41" state="hidden" r:id="rId15"/>
    <sheet name="raidisseur (3)" sheetId="42" state="hidden" r:id="rId16"/>
    <sheet name="largeur_eff_semelle bis (3)" sheetId="43" state="hidden" r:id="rId17"/>
    <sheet name="raidisseur bis (3)" sheetId="48" state="hidden" r:id="rId18"/>
    <sheet name="largeur_eff_ame (3)" sheetId="44" state="hidden" r:id="rId19"/>
    <sheet name="résistance_section (3)" sheetId="45" state="hidden" r:id="rId20"/>
    <sheet name="largeur_eff_semelle (4)" sheetId="49" state="hidden" r:id="rId21"/>
    <sheet name="raidisseur (4)" sheetId="50" state="hidden" r:id="rId22"/>
    <sheet name="largeur_eff_semelle bis (4)" sheetId="51" state="hidden" r:id="rId23"/>
    <sheet name="raidisseur bis (4)" sheetId="52" state="hidden" r:id="rId24"/>
    <sheet name="largeur_eff_ame (4)" sheetId="53" state="hidden" r:id="rId25"/>
    <sheet name="résistance_section (4)" sheetId="54" state="hidden" r:id="rId26"/>
    <sheet name="Feuil2" sheetId="56" state="hidden" r:id="rId27"/>
  </sheets>
  <definedNames>
    <definedName name="_xlnm.Print_Area" localSheetId="1">données!$H$29:$N$44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7" l="1"/>
  <c r="B39" i="2"/>
  <c r="E3" i="7"/>
  <c r="D3" i="2"/>
  <c r="P3" i="7"/>
  <c r="D3" i="7"/>
  <c r="I17" i="7"/>
  <c r="I19" i="7"/>
  <c r="C6" i="2"/>
  <c r="D6" i="2"/>
  <c r="H6" i="2"/>
  <c r="F6" i="2"/>
  <c r="I26" i="7"/>
  <c r="C33" i="7"/>
  <c r="C7" i="2"/>
  <c r="D7" i="2"/>
  <c r="I27" i="7"/>
  <c r="E7" i="2"/>
  <c r="F7" i="2"/>
  <c r="I18" i="7"/>
  <c r="C7" i="7"/>
  <c r="C32" i="7"/>
  <c r="C8" i="2"/>
  <c r="D8" i="2"/>
  <c r="N3" i="7"/>
  <c r="E8" i="2"/>
  <c r="F8" i="2"/>
  <c r="C31" i="7"/>
  <c r="C9" i="2"/>
  <c r="D9" i="2"/>
  <c r="E9" i="2"/>
  <c r="F9" i="2"/>
  <c r="C6" i="7"/>
  <c r="C30" i="7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F15" i="2"/>
  <c r="F16" i="2"/>
  <c r="D16" i="2"/>
  <c r="G16" i="2"/>
  <c r="G6" i="2"/>
  <c r="I6" i="2"/>
  <c r="G7" i="2"/>
  <c r="I7" i="2"/>
  <c r="M32" i="7"/>
  <c r="H8" i="2"/>
  <c r="G8" i="2"/>
  <c r="I8" i="2"/>
  <c r="L17" i="7"/>
  <c r="G9" i="2"/>
  <c r="I9" i="2"/>
  <c r="H10" i="2"/>
  <c r="G10" i="2"/>
  <c r="I10" i="2"/>
  <c r="I11" i="2"/>
  <c r="I12" i="2"/>
  <c r="I13" i="2"/>
  <c r="I14" i="2"/>
  <c r="M34" i="7"/>
  <c r="H15" i="2"/>
  <c r="G15" i="2"/>
  <c r="I15" i="2"/>
  <c r="I16" i="2"/>
  <c r="C8" i="7"/>
  <c r="B5" i="1"/>
  <c r="C3" i="2"/>
  <c r="B3" i="2"/>
  <c r="F33" i="2"/>
  <c r="C9" i="7"/>
  <c r="I3" i="7"/>
  <c r="B3" i="7"/>
  <c r="C17" i="7"/>
  <c r="C18" i="7"/>
  <c r="J3" i="7"/>
  <c r="C20" i="7"/>
  <c r="M3" i="7"/>
  <c r="E33" i="2"/>
  <c r="G33" i="2"/>
  <c r="B33" i="2"/>
  <c r="H33" i="2"/>
  <c r="I33" i="2"/>
  <c r="H3" i="7"/>
  <c r="E3" i="2"/>
  <c r="C5" i="1"/>
  <c r="D5" i="1"/>
  <c r="H5" i="1"/>
  <c r="I5" i="1"/>
  <c r="L3" i="7"/>
  <c r="I30" i="7"/>
  <c r="J30" i="7"/>
  <c r="K30" i="7"/>
  <c r="I31" i="7"/>
  <c r="J31" i="7"/>
  <c r="K31" i="7"/>
  <c r="I32" i="7"/>
  <c r="J32" i="7"/>
  <c r="K32" i="7"/>
  <c r="I33" i="7"/>
  <c r="J33" i="7"/>
  <c r="K33" i="7"/>
  <c r="C21" i="7"/>
  <c r="C34" i="7"/>
  <c r="I34" i="7"/>
  <c r="J34" i="7"/>
  <c r="K34" i="7"/>
  <c r="C23" i="7"/>
  <c r="C35" i="7"/>
  <c r="I35" i="7"/>
  <c r="C24" i="7"/>
  <c r="J35" i="7"/>
  <c r="K35" i="7"/>
  <c r="C19" i="7"/>
  <c r="C36" i="7"/>
  <c r="I36" i="7"/>
  <c r="M36" i="7"/>
  <c r="J36" i="7"/>
  <c r="K36" i="7"/>
  <c r="C26" i="7"/>
  <c r="C37" i="7"/>
  <c r="I37" i="7"/>
  <c r="C27" i="7"/>
  <c r="J37" i="7"/>
  <c r="K37" i="7"/>
  <c r="C10" i="7"/>
  <c r="C38" i="7"/>
  <c r="I38" i="7"/>
  <c r="K38" i="7"/>
  <c r="C11" i="7"/>
  <c r="C39" i="7"/>
  <c r="I39" i="7"/>
  <c r="J39" i="7"/>
  <c r="K39" i="7"/>
  <c r="C12" i="7"/>
  <c r="C40" i="7"/>
  <c r="I40" i="7"/>
  <c r="J40" i="7"/>
  <c r="K40" i="7"/>
  <c r="C13" i="7"/>
  <c r="C41" i="7"/>
  <c r="I41" i="7"/>
  <c r="J41" i="7"/>
  <c r="K41" i="7"/>
  <c r="C14" i="7"/>
  <c r="C42" i="7"/>
  <c r="I42" i="7"/>
  <c r="K42" i="7"/>
  <c r="K44" i="7"/>
  <c r="I44" i="7"/>
  <c r="L44" i="7"/>
  <c r="J5" i="1"/>
  <c r="L5" i="1"/>
  <c r="M5" i="1"/>
  <c r="N5" i="1"/>
  <c r="O5" i="1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D29" i="2"/>
  <c r="B36" i="2"/>
  <c r="C39" i="2"/>
  <c r="D39" i="2"/>
  <c r="E39" i="2"/>
  <c r="B42" i="2"/>
  <c r="C42" i="2"/>
  <c r="D12" i="6"/>
  <c r="D39" i="6"/>
  <c r="C12" i="6"/>
  <c r="E12" i="6"/>
  <c r="E39" i="6"/>
  <c r="F12" i="6"/>
  <c r="F39" i="6"/>
  <c r="G12" i="6"/>
  <c r="G39" i="6"/>
  <c r="D11" i="6"/>
  <c r="E11" i="6"/>
  <c r="F11" i="6"/>
  <c r="G11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B3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D20" i="6"/>
  <c r="E20" i="6"/>
  <c r="S3" i="7"/>
  <c r="F20" i="6"/>
  <c r="G20" i="6"/>
  <c r="P4" i="7"/>
  <c r="D21" i="6"/>
  <c r="E21" i="6"/>
  <c r="F21" i="6"/>
  <c r="G21" i="6"/>
  <c r="C22" i="6"/>
  <c r="D22" i="6"/>
  <c r="E22" i="6"/>
  <c r="F22" i="6"/>
  <c r="G22" i="6"/>
  <c r="C23" i="6"/>
  <c r="D23" i="6"/>
  <c r="E23" i="6"/>
  <c r="G23" i="6"/>
  <c r="C24" i="6"/>
  <c r="D24" i="6"/>
  <c r="E24" i="6"/>
  <c r="F24" i="6"/>
  <c r="G24" i="6"/>
  <c r="C25" i="6"/>
  <c r="D25" i="6"/>
  <c r="E25" i="6"/>
  <c r="F25" i="6"/>
  <c r="G25" i="6"/>
  <c r="C26" i="6"/>
  <c r="D26" i="6"/>
  <c r="E26" i="6"/>
  <c r="F26" i="6"/>
  <c r="G26" i="6"/>
  <c r="C27" i="6"/>
  <c r="D27" i="6"/>
  <c r="E27" i="6"/>
  <c r="G27" i="6"/>
  <c r="G28" i="6"/>
  <c r="E28" i="6"/>
  <c r="H28" i="6"/>
  <c r="H12" i="6"/>
  <c r="H39" i="6"/>
  <c r="M30" i="7"/>
  <c r="I12" i="6"/>
  <c r="I39" i="6"/>
  <c r="J12" i="6"/>
  <c r="J39" i="6"/>
  <c r="D40" i="6"/>
  <c r="E40" i="6"/>
  <c r="F40" i="6"/>
  <c r="G40" i="6"/>
  <c r="H13" i="6"/>
  <c r="H40" i="6"/>
  <c r="I40" i="6"/>
  <c r="J13" i="6"/>
  <c r="J40" i="6"/>
  <c r="D41" i="6"/>
  <c r="E41" i="6"/>
  <c r="F41" i="6"/>
  <c r="G41" i="6"/>
  <c r="H14" i="6"/>
  <c r="H41" i="6"/>
  <c r="I14" i="6"/>
  <c r="I41" i="6"/>
  <c r="J14" i="6"/>
  <c r="J41" i="6"/>
  <c r="D42" i="6"/>
  <c r="E42" i="6"/>
  <c r="F42" i="6"/>
  <c r="G42" i="6"/>
  <c r="H15" i="6"/>
  <c r="H42" i="6"/>
  <c r="I42" i="6"/>
  <c r="J15" i="6"/>
  <c r="J42" i="6"/>
  <c r="D43" i="6"/>
  <c r="E43" i="6"/>
  <c r="F43" i="6"/>
  <c r="G43" i="6"/>
  <c r="H16" i="6"/>
  <c r="H43" i="6"/>
  <c r="I16" i="6"/>
  <c r="I43" i="6"/>
  <c r="J16" i="6"/>
  <c r="J43" i="6"/>
  <c r="D44" i="6"/>
  <c r="E44" i="6"/>
  <c r="F44" i="6"/>
  <c r="G44" i="6"/>
  <c r="H17" i="6"/>
  <c r="H44" i="6"/>
  <c r="I17" i="6"/>
  <c r="I44" i="6"/>
  <c r="J17" i="6"/>
  <c r="J44" i="6"/>
  <c r="D45" i="6"/>
  <c r="E45" i="6"/>
  <c r="F45" i="6"/>
  <c r="G45" i="6"/>
  <c r="H18" i="6"/>
  <c r="H45" i="6"/>
  <c r="I45" i="6"/>
  <c r="J18" i="6"/>
  <c r="J45" i="6"/>
  <c r="D46" i="6"/>
  <c r="E46" i="6"/>
  <c r="F46" i="6"/>
  <c r="G46" i="6"/>
  <c r="H19" i="6"/>
  <c r="H46" i="6"/>
  <c r="I19" i="6"/>
  <c r="I46" i="6"/>
  <c r="J19" i="6"/>
  <c r="J46" i="6"/>
  <c r="D47" i="6"/>
  <c r="E47" i="6"/>
  <c r="F47" i="6"/>
  <c r="G47" i="6"/>
  <c r="H22" i="6"/>
  <c r="H47" i="6"/>
  <c r="I47" i="6"/>
  <c r="J22" i="6"/>
  <c r="J47" i="6"/>
  <c r="D48" i="6"/>
  <c r="E48" i="6"/>
  <c r="F48" i="6"/>
  <c r="G48" i="6"/>
  <c r="H23" i="6"/>
  <c r="H48" i="6"/>
  <c r="M38" i="7"/>
  <c r="I23" i="6"/>
  <c r="I48" i="6"/>
  <c r="J23" i="6"/>
  <c r="J48" i="6"/>
  <c r="D49" i="6"/>
  <c r="E49" i="6"/>
  <c r="F49" i="6"/>
  <c r="G49" i="6"/>
  <c r="H24" i="6"/>
  <c r="H49" i="6"/>
  <c r="M39" i="7"/>
  <c r="I24" i="6"/>
  <c r="I49" i="6"/>
  <c r="J24" i="6"/>
  <c r="J49" i="6"/>
  <c r="D50" i="6"/>
  <c r="E50" i="6"/>
  <c r="F50" i="6"/>
  <c r="G50" i="6"/>
  <c r="H25" i="6"/>
  <c r="H50" i="6"/>
  <c r="M40" i="7"/>
  <c r="I25" i="6"/>
  <c r="I50" i="6"/>
  <c r="J25" i="6"/>
  <c r="J50" i="6"/>
  <c r="D51" i="6"/>
  <c r="E51" i="6"/>
  <c r="F51" i="6"/>
  <c r="G51" i="6"/>
  <c r="H26" i="6"/>
  <c r="H51" i="6"/>
  <c r="M41" i="7"/>
  <c r="I26" i="6"/>
  <c r="I51" i="6"/>
  <c r="J26" i="6"/>
  <c r="J51" i="6"/>
  <c r="D52" i="6"/>
  <c r="E52" i="6"/>
  <c r="F52" i="6"/>
  <c r="G52" i="6"/>
  <c r="H27" i="6"/>
  <c r="H52" i="6"/>
  <c r="M42" i="7"/>
  <c r="I27" i="6"/>
  <c r="I52" i="6"/>
  <c r="J27" i="6"/>
  <c r="J52" i="6"/>
  <c r="E53" i="6"/>
  <c r="C11" i="6"/>
  <c r="C20" i="6"/>
  <c r="C21" i="6"/>
  <c r="F23" i="6"/>
  <c r="F27" i="6"/>
  <c r="I13" i="6"/>
  <c r="I15" i="6"/>
  <c r="I18" i="6"/>
  <c r="I22" i="6"/>
  <c r="C48" i="6"/>
  <c r="C49" i="6"/>
  <c r="C50" i="6"/>
  <c r="C51" i="6"/>
  <c r="C52" i="6"/>
  <c r="C47" i="6"/>
  <c r="C46" i="6"/>
  <c r="C45" i="6"/>
  <c r="C44" i="6"/>
  <c r="C40" i="6"/>
  <c r="C41" i="6"/>
  <c r="C42" i="6"/>
  <c r="C43" i="6"/>
  <c r="C39" i="6"/>
  <c r="H20" i="6"/>
  <c r="H21" i="6"/>
  <c r="H29" i="6"/>
  <c r="J53" i="6"/>
  <c r="G53" i="6"/>
  <c r="H53" i="6"/>
  <c r="D5" i="26"/>
  <c r="J5" i="26"/>
  <c r="B5" i="26"/>
  <c r="C5" i="26"/>
  <c r="H5" i="26"/>
  <c r="I5" i="26"/>
  <c r="L5" i="26"/>
  <c r="M5" i="26"/>
  <c r="N5" i="26"/>
  <c r="O5" i="26"/>
  <c r="C19" i="35"/>
  <c r="D3" i="35"/>
  <c r="D19" i="35"/>
  <c r="C28" i="35"/>
  <c r="D28" i="35"/>
  <c r="C7" i="35"/>
  <c r="C20" i="35"/>
  <c r="D20" i="35"/>
  <c r="C8" i="35"/>
  <c r="C21" i="35"/>
  <c r="D21" i="35"/>
  <c r="C9" i="35"/>
  <c r="C22" i="35"/>
  <c r="D22" i="35"/>
  <c r="C10" i="35"/>
  <c r="C23" i="35"/>
  <c r="D23" i="35"/>
  <c r="C11" i="35"/>
  <c r="C24" i="35"/>
  <c r="D24" i="35"/>
  <c r="C12" i="35"/>
  <c r="C25" i="35"/>
  <c r="D25" i="35"/>
  <c r="C13" i="35"/>
  <c r="C26" i="35"/>
  <c r="D26" i="35"/>
  <c r="C14" i="35"/>
  <c r="C27" i="35"/>
  <c r="D27" i="35"/>
  <c r="D29" i="35"/>
  <c r="C6" i="35"/>
  <c r="D6" i="35"/>
  <c r="H6" i="35"/>
  <c r="F6" i="35"/>
  <c r="D7" i="35"/>
  <c r="E7" i="35"/>
  <c r="F7" i="35"/>
  <c r="D8" i="35"/>
  <c r="E8" i="35"/>
  <c r="F8" i="35"/>
  <c r="D9" i="35"/>
  <c r="E9" i="35"/>
  <c r="F9" i="35"/>
  <c r="D10" i="35"/>
  <c r="E10" i="35"/>
  <c r="F10" i="35"/>
  <c r="D11" i="35"/>
  <c r="E11" i="35"/>
  <c r="F11" i="35"/>
  <c r="D12" i="35"/>
  <c r="E12" i="35"/>
  <c r="F12" i="35"/>
  <c r="D13" i="35"/>
  <c r="E13" i="35"/>
  <c r="F13" i="35"/>
  <c r="D14" i="35"/>
  <c r="E14" i="35"/>
  <c r="F14" i="35"/>
  <c r="C15" i="35"/>
  <c r="D15" i="35"/>
  <c r="F15" i="35"/>
  <c r="F16" i="35"/>
  <c r="D16" i="35"/>
  <c r="G16" i="35"/>
  <c r="G6" i="35"/>
  <c r="I6" i="35"/>
  <c r="G7" i="35"/>
  <c r="I7" i="35"/>
  <c r="H8" i="35"/>
  <c r="G8" i="35"/>
  <c r="I8" i="35"/>
  <c r="G9" i="35"/>
  <c r="I9" i="35"/>
  <c r="H10" i="35"/>
  <c r="G10" i="35"/>
  <c r="I10" i="35"/>
  <c r="I11" i="35"/>
  <c r="I12" i="35"/>
  <c r="I13" i="35"/>
  <c r="I14" i="35"/>
  <c r="H15" i="35"/>
  <c r="G15" i="35"/>
  <c r="I15" i="35"/>
  <c r="I16" i="35"/>
  <c r="C3" i="35"/>
  <c r="B3" i="35"/>
  <c r="F33" i="35"/>
  <c r="E33" i="35"/>
  <c r="G33" i="35"/>
  <c r="B33" i="35"/>
  <c r="H33" i="35"/>
  <c r="I33" i="35"/>
  <c r="E3" i="35"/>
  <c r="B36" i="35"/>
  <c r="B39" i="35"/>
  <c r="C39" i="35"/>
  <c r="D39" i="35"/>
  <c r="E39" i="35"/>
  <c r="B42" i="35"/>
  <c r="C42" i="35"/>
  <c r="D11" i="40"/>
  <c r="E11" i="40"/>
  <c r="F11" i="40"/>
  <c r="G11" i="40"/>
  <c r="D12" i="40"/>
  <c r="C12" i="40"/>
  <c r="E12" i="40"/>
  <c r="F12" i="40"/>
  <c r="G12" i="40"/>
  <c r="D13" i="40"/>
  <c r="C13" i="40"/>
  <c r="E13" i="40"/>
  <c r="F13" i="40"/>
  <c r="G13" i="40"/>
  <c r="D14" i="40"/>
  <c r="C14" i="40"/>
  <c r="E14" i="40"/>
  <c r="F14" i="40"/>
  <c r="G14" i="40"/>
  <c r="D15" i="40"/>
  <c r="C15" i="40"/>
  <c r="E15" i="40"/>
  <c r="F15" i="40"/>
  <c r="G15" i="40"/>
  <c r="C16" i="40"/>
  <c r="D16" i="40"/>
  <c r="E16" i="40"/>
  <c r="F16" i="40"/>
  <c r="G16" i="40"/>
  <c r="C17" i="40"/>
  <c r="B3" i="40"/>
  <c r="D17" i="40"/>
  <c r="E17" i="40"/>
  <c r="F17" i="40"/>
  <c r="G17" i="40"/>
  <c r="F20" i="40"/>
  <c r="D20" i="40"/>
  <c r="E20" i="40"/>
  <c r="G20" i="40"/>
  <c r="F21" i="40"/>
  <c r="D21" i="40"/>
  <c r="E21" i="40"/>
  <c r="G21" i="40"/>
  <c r="C18" i="40"/>
  <c r="D18" i="40"/>
  <c r="E18" i="40"/>
  <c r="F18" i="40"/>
  <c r="G18" i="40"/>
  <c r="C19" i="40"/>
  <c r="D19" i="40"/>
  <c r="E19" i="40"/>
  <c r="F19" i="40"/>
  <c r="G19" i="40"/>
  <c r="C22" i="40"/>
  <c r="D22" i="40"/>
  <c r="E22" i="40"/>
  <c r="F22" i="40"/>
  <c r="G22" i="40"/>
  <c r="C23" i="40"/>
  <c r="D23" i="40"/>
  <c r="E23" i="40"/>
  <c r="G23" i="40"/>
  <c r="C24" i="40"/>
  <c r="D24" i="40"/>
  <c r="E24" i="40"/>
  <c r="F24" i="40"/>
  <c r="G24" i="40"/>
  <c r="C25" i="40"/>
  <c r="D25" i="40"/>
  <c r="E25" i="40"/>
  <c r="F25" i="40"/>
  <c r="G25" i="40"/>
  <c r="C26" i="40"/>
  <c r="D26" i="40"/>
  <c r="E26" i="40"/>
  <c r="F26" i="40"/>
  <c r="G26" i="40"/>
  <c r="C27" i="40"/>
  <c r="D27" i="40"/>
  <c r="E27" i="40"/>
  <c r="G27" i="40"/>
  <c r="G28" i="40"/>
  <c r="E28" i="40"/>
  <c r="H28" i="40"/>
  <c r="D5" i="41"/>
  <c r="J5" i="41"/>
  <c r="B5" i="41"/>
  <c r="C5" i="41"/>
  <c r="H5" i="41"/>
  <c r="I5" i="41"/>
  <c r="L5" i="41"/>
  <c r="M5" i="41"/>
  <c r="N5" i="41"/>
  <c r="O5" i="41"/>
  <c r="C19" i="42"/>
  <c r="D3" i="42"/>
  <c r="D19" i="42"/>
  <c r="C28" i="42"/>
  <c r="D28" i="42"/>
  <c r="C7" i="42"/>
  <c r="C20" i="42"/>
  <c r="D20" i="42"/>
  <c r="C8" i="42"/>
  <c r="C21" i="42"/>
  <c r="D21" i="42"/>
  <c r="C9" i="42"/>
  <c r="C22" i="42"/>
  <c r="D22" i="42"/>
  <c r="C10" i="42"/>
  <c r="C23" i="42"/>
  <c r="D23" i="42"/>
  <c r="C11" i="42"/>
  <c r="C24" i="42"/>
  <c r="D24" i="42"/>
  <c r="C12" i="42"/>
  <c r="C25" i="42"/>
  <c r="D25" i="42"/>
  <c r="C13" i="42"/>
  <c r="C26" i="42"/>
  <c r="D26" i="42"/>
  <c r="C14" i="42"/>
  <c r="C27" i="42"/>
  <c r="D27" i="42"/>
  <c r="D29" i="42"/>
  <c r="C6" i="42"/>
  <c r="D6" i="42"/>
  <c r="H6" i="42"/>
  <c r="F6" i="42"/>
  <c r="D7" i="42"/>
  <c r="E7" i="42"/>
  <c r="F7" i="42"/>
  <c r="D8" i="42"/>
  <c r="E8" i="42"/>
  <c r="F8" i="42"/>
  <c r="D9" i="42"/>
  <c r="E9" i="42"/>
  <c r="F9" i="42"/>
  <c r="D10" i="42"/>
  <c r="E10" i="42"/>
  <c r="F10" i="42"/>
  <c r="D11" i="42"/>
  <c r="E11" i="42"/>
  <c r="F11" i="42"/>
  <c r="D12" i="42"/>
  <c r="E12" i="42"/>
  <c r="F12" i="42"/>
  <c r="D13" i="42"/>
  <c r="E13" i="42"/>
  <c r="F13" i="42"/>
  <c r="D14" i="42"/>
  <c r="E14" i="42"/>
  <c r="F14" i="42"/>
  <c r="C15" i="42"/>
  <c r="D15" i="42"/>
  <c r="F15" i="42"/>
  <c r="F16" i="42"/>
  <c r="D16" i="42"/>
  <c r="G16" i="42"/>
  <c r="G6" i="42"/>
  <c r="I6" i="42"/>
  <c r="G7" i="42"/>
  <c r="I7" i="42"/>
  <c r="H8" i="42"/>
  <c r="G8" i="42"/>
  <c r="I8" i="42"/>
  <c r="G9" i="42"/>
  <c r="I9" i="42"/>
  <c r="H10" i="42"/>
  <c r="G10" i="42"/>
  <c r="I10" i="42"/>
  <c r="I11" i="42"/>
  <c r="I12" i="42"/>
  <c r="I13" i="42"/>
  <c r="I14" i="42"/>
  <c r="H15" i="42"/>
  <c r="G15" i="42"/>
  <c r="I15" i="42"/>
  <c r="I16" i="42"/>
  <c r="C3" i="42"/>
  <c r="B3" i="42"/>
  <c r="F33" i="42"/>
  <c r="E33" i="42"/>
  <c r="G33" i="42"/>
  <c r="B33" i="42"/>
  <c r="H33" i="42"/>
  <c r="I33" i="42"/>
  <c r="E3" i="42"/>
  <c r="B36" i="42"/>
  <c r="B39" i="42"/>
  <c r="C39" i="42"/>
  <c r="D39" i="42"/>
  <c r="E39" i="42"/>
  <c r="B42" i="42"/>
  <c r="C42" i="42"/>
  <c r="D11" i="45"/>
  <c r="E11" i="45"/>
  <c r="F11" i="45"/>
  <c r="G11" i="45"/>
  <c r="D12" i="45"/>
  <c r="C12" i="45"/>
  <c r="E12" i="45"/>
  <c r="F12" i="45"/>
  <c r="G12" i="45"/>
  <c r="D13" i="45"/>
  <c r="C13" i="45"/>
  <c r="E13" i="45"/>
  <c r="F13" i="45"/>
  <c r="G13" i="45"/>
  <c r="D14" i="45"/>
  <c r="C14" i="45"/>
  <c r="E14" i="45"/>
  <c r="F14" i="45"/>
  <c r="G14" i="45"/>
  <c r="D15" i="45"/>
  <c r="C15" i="45"/>
  <c r="E15" i="45"/>
  <c r="F15" i="45"/>
  <c r="G15" i="45"/>
  <c r="C16" i="45"/>
  <c r="D16" i="45"/>
  <c r="E16" i="45"/>
  <c r="F16" i="45"/>
  <c r="G16" i="45"/>
  <c r="C17" i="45"/>
  <c r="B3" i="45"/>
  <c r="D17" i="45"/>
  <c r="E17" i="45"/>
  <c r="F17" i="45"/>
  <c r="G17" i="45"/>
  <c r="F20" i="45"/>
  <c r="D20" i="45"/>
  <c r="E20" i="45"/>
  <c r="G20" i="45"/>
  <c r="F21" i="45"/>
  <c r="D21" i="45"/>
  <c r="E21" i="45"/>
  <c r="G21" i="45"/>
  <c r="C18" i="45"/>
  <c r="D18" i="45"/>
  <c r="E18" i="45"/>
  <c r="F18" i="45"/>
  <c r="G18" i="45"/>
  <c r="C19" i="45"/>
  <c r="D19" i="45"/>
  <c r="E19" i="45"/>
  <c r="F19" i="45"/>
  <c r="G19" i="45"/>
  <c r="C22" i="45"/>
  <c r="D22" i="45"/>
  <c r="E22" i="45"/>
  <c r="F22" i="45"/>
  <c r="G22" i="45"/>
  <c r="C23" i="45"/>
  <c r="D23" i="45"/>
  <c r="E23" i="45"/>
  <c r="G23" i="45"/>
  <c r="C24" i="45"/>
  <c r="D24" i="45"/>
  <c r="E24" i="45"/>
  <c r="F24" i="45"/>
  <c r="G24" i="45"/>
  <c r="C25" i="45"/>
  <c r="D25" i="45"/>
  <c r="E25" i="45"/>
  <c r="F25" i="45"/>
  <c r="G25" i="45"/>
  <c r="C26" i="45"/>
  <c r="D26" i="45"/>
  <c r="E26" i="45"/>
  <c r="F26" i="45"/>
  <c r="G26" i="45"/>
  <c r="C27" i="45"/>
  <c r="D27" i="45"/>
  <c r="E27" i="45"/>
  <c r="G27" i="45"/>
  <c r="G28" i="45"/>
  <c r="E28" i="45"/>
  <c r="H28" i="45"/>
  <c r="D5" i="49"/>
  <c r="J5" i="49"/>
  <c r="B5" i="49"/>
  <c r="C5" i="49"/>
  <c r="H5" i="49"/>
  <c r="I5" i="49"/>
  <c r="L5" i="49"/>
  <c r="M5" i="49"/>
  <c r="N5" i="49"/>
  <c r="O5" i="49"/>
  <c r="C19" i="50"/>
  <c r="D3" i="50"/>
  <c r="D19" i="50"/>
  <c r="C28" i="50"/>
  <c r="D28" i="50"/>
  <c r="C7" i="50"/>
  <c r="C20" i="50"/>
  <c r="D20" i="50"/>
  <c r="C8" i="50"/>
  <c r="C21" i="50"/>
  <c r="D21" i="50"/>
  <c r="C9" i="50"/>
  <c r="C22" i="50"/>
  <c r="D22" i="50"/>
  <c r="C10" i="50"/>
  <c r="C23" i="50"/>
  <c r="D23" i="50"/>
  <c r="C11" i="50"/>
  <c r="C24" i="50"/>
  <c r="D24" i="50"/>
  <c r="C12" i="50"/>
  <c r="C25" i="50"/>
  <c r="D25" i="50"/>
  <c r="C13" i="50"/>
  <c r="C26" i="50"/>
  <c r="D26" i="50"/>
  <c r="C14" i="50"/>
  <c r="C27" i="50"/>
  <c r="D27" i="50"/>
  <c r="D29" i="50"/>
  <c r="C6" i="50"/>
  <c r="D6" i="50"/>
  <c r="H6" i="50"/>
  <c r="F6" i="50"/>
  <c r="D7" i="50"/>
  <c r="E7" i="50"/>
  <c r="F7" i="50"/>
  <c r="D8" i="50"/>
  <c r="E8" i="50"/>
  <c r="F8" i="50"/>
  <c r="D9" i="50"/>
  <c r="E9" i="50"/>
  <c r="F9" i="50"/>
  <c r="D10" i="50"/>
  <c r="E10" i="50"/>
  <c r="F10" i="50"/>
  <c r="D11" i="50"/>
  <c r="E11" i="50"/>
  <c r="F11" i="50"/>
  <c r="D12" i="50"/>
  <c r="E12" i="50"/>
  <c r="F12" i="50"/>
  <c r="D13" i="50"/>
  <c r="E13" i="50"/>
  <c r="F13" i="50"/>
  <c r="D14" i="50"/>
  <c r="E14" i="50"/>
  <c r="F14" i="50"/>
  <c r="C15" i="50"/>
  <c r="D15" i="50"/>
  <c r="F15" i="50"/>
  <c r="F16" i="50"/>
  <c r="D16" i="50"/>
  <c r="G16" i="50"/>
  <c r="G6" i="50"/>
  <c r="I6" i="50"/>
  <c r="G7" i="50"/>
  <c r="I7" i="50"/>
  <c r="H8" i="50"/>
  <c r="G8" i="50"/>
  <c r="I8" i="50"/>
  <c r="G9" i="50"/>
  <c r="I9" i="50"/>
  <c r="H10" i="50"/>
  <c r="G10" i="50"/>
  <c r="I10" i="50"/>
  <c r="I11" i="50"/>
  <c r="I12" i="50"/>
  <c r="I13" i="50"/>
  <c r="I14" i="50"/>
  <c r="H15" i="50"/>
  <c r="G15" i="50"/>
  <c r="I15" i="50"/>
  <c r="I16" i="50"/>
  <c r="C3" i="50"/>
  <c r="B3" i="50"/>
  <c r="F33" i="50"/>
  <c r="E33" i="50"/>
  <c r="G33" i="50"/>
  <c r="B33" i="50"/>
  <c r="H33" i="50"/>
  <c r="I33" i="50"/>
  <c r="E3" i="50"/>
  <c r="B36" i="50"/>
  <c r="B39" i="50"/>
  <c r="C39" i="50"/>
  <c r="D39" i="50"/>
  <c r="E39" i="50"/>
  <c r="B42" i="50"/>
  <c r="C42" i="50"/>
  <c r="D11" i="54"/>
  <c r="E11" i="54"/>
  <c r="F11" i="54"/>
  <c r="G11" i="54"/>
  <c r="D12" i="54"/>
  <c r="C12" i="54"/>
  <c r="E12" i="54"/>
  <c r="F12" i="54"/>
  <c r="G12" i="54"/>
  <c r="D13" i="54"/>
  <c r="C13" i="54"/>
  <c r="E13" i="54"/>
  <c r="F13" i="54"/>
  <c r="G13" i="54"/>
  <c r="D14" i="54"/>
  <c r="C14" i="54"/>
  <c r="E14" i="54"/>
  <c r="F14" i="54"/>
  <c r="G14" i="54"/>
  <c r="D15" i="54"/>
  <c r="C15" i="54"/>
  <c r="E15" i="54"/>
  <c r="F15" i="54"/>
  <c r="G15" i="54"/>
  <c r="C16" i="54"/>
  <c r="D16" i="54"/>
  <c r="E16" i="54"/>
  <c r="F16" i="54"/>
  <c r="G16" i="54"/>
  <c r="C17" i="54"/>
  <c r="B3" i="54"/>
  <c r="D17" i="54"/>
  <c r="E17" i="54"/>
  <c r="F17" i="54"/>
  <c r="G17" i="54"/>
  <c r="F20" i="54"/>
  <c r="D20" i="54"/>
  <c r="E20" i="54"/>
  <c r="G20" i="54"/>
  <c r="F21" i="54"/>
  <c r="D21" i="54"/>
  <c r="E21" i="54"/>
  <c r="G21" i="54"/>
  <c r="C18" i="54"/>
  <c r="D18" i="54"/>
  <c r="E18" i="54"/>
  <c r="F18" i="54"/>
  <c r="G18" i="54"/>
  <c r="C19" i="54"/>
  <c r="D19" i="54"/>
  <c r="E19" i="54"/>
  <c r="F19" i="54"/>
  <c r="G19" i="54"/>
  <c r="C22" i="54"/>
  <c r="D22" i="54"/>
  <c r="E22" i="54"/>
  <c r="F22" i="54"/>
  <c r="G22" i="54"/>
  <c r="C23" i="54"/>
  <c r="D23" i="54"/>
  <c r="E23" i="54"/>
  <c r="G23" i="54"/>
  <c r="C24" i="54"/>
  <c r="D24" i="54"/>
  <c r="E24" i="54"/>
  <c r="F24" i="54"/>
  <c r="G24" i="54"/>
  <c r="C25" i="54"/>
  <c r="D25" i="54"/>
  <c r="E25" i="54"/>
  <c r="F25" i="54"/>
  <c r="G25" i="54"/>
  <c r="C26" i="54"/>
  <c r="D26" i="54"/>
  <c r="E26" i="54"/>
  <c r="F26" i="54"/>
  <c r="G26" i="54"/>
  <c r="C27" i="54"/>
  <c r="D27" i="54"/>
  <c r="E27" i="54"/>
  <c r="G27" i="54"/>
  <c r="G28" i="54"/>
  <c r="E28" i="54"/>
  <c r="H28" i="54"/>
  <c r="E19" i="56"/>
  <c r="E18" i="56"/>
  <c r="D3" i="53"/>
  <c r="F3" i="53"/>
  <c r="B3" i="53"/>
  <c r="C3" i="53"/>
  <c r="B6" i="53"/>
  <c r="C6" i="53"/>
  <c r="D6" i="53"/>
  <c r="E13" i="56"/>
  <c r="E12" i="56"/>
  <c r="E11" i="56"/>
  <c r="G3" i="53"/>
  <c r="H3" i="53"/>
  <c r="E10" i="56"/>
  <c r="E9" i="56"/>
  <c r="E8" i="56"/>
  <c r="E7" i="56"/>
  <c r="E6" i="56"/>
  <c r="E5" i="56"/>
  <c r="E4" i="56"/>
  <c r="E3" i="56"/>
  <c r="D19" i="56"/>
  <c r="D18" i="56"/>
  <c r="D3" i="44"/>
  <c r="F3" i="44"/>
  <c r="B3" i="44"/>
  <c r="C3" i="44"/>
  <c r="B6" i="44"/>
  <c r="C6" i="44"/>
  <c r="D6" i="44"/>
  <c r="D13" i="56"/>
  <c r="D12" i="56"/>
  <c r="D11" i="56"/>
  <c r="G3" i="44"/>
  <c r="H3" i="44"/>
  <c r="D10" i="56"/>
  <c r="D9" i="56"/>
  <c r="D8" i="56"/>
  <c r="D7" i="56"/>
  <c r="D6" i="56"/>
  <c r="D5" i="56"/>
  <c r="D4" i="56"/>
  <c r="D3" i="56"/>
  <c r="E14" i="56"/>
  <c r="D14" i="56"/>
  <c r="C18" i="56"/>
  <c r="C8" i="56"/>
  <c r="C7" i="56"/>
  <c r="C6" i="56"/>
  <c r="C19" i="56"/>
  <c r="C5" i="56"/>
  <c r="C4" i="56"/>
  <c r="D3" i="36"/>
  <c r="F3" i="36"/>
  <c r="B3" i="36"/>
  <c r="C3" i="36"/>
  <c r="B6" i="36"/>
  <c r="C6" i="36"/>
  <c r="D6" i="36"/>
  <c r="C13" i="56"/>
  <c r="C12" i="56"/>
  <c r="C11" i="56"/>
  <c r="G3" i="36"/>
  <c r="H3" i="36"/>
  <c r="C10" i="56"/>
  <c r="C9" i="56"/>
  <c r="C3" i="56"/>
  <c r="C14" i="56"/>
  <c r="D33" i="52"/>
  <c r="D33" i="50"/>
  <c r="D33" i="48"/>
  <c r="D33" i="42"/>
  <c r="D33" i="47"/>
  <c r="D33" i="35"/>
  <c r="D33" i="46"/>
  <c r="D33" i="2"/>
  <c r="D27" i="55"/>
  <c r="D28" i="55"/>
  <c r="B39" i="48"/>
  <c r="D3" i="48"/>
  <c r="C6" i="48"/>
  <c r="D6" i="48"/>
  <c r="H6" i="48"/>
  <c r="F6" i="48"/>
  <c r="C7" i="48"/>
  <c r="D7" i="48"/>
  <c r="E7" i="48"/>
  <c r="F7" i="48"/>
  <c r="C8" i="48"/>
  <c r="D8" i="48"/>
  <c r="E8" i="48"/>
  <c r="F8" i="48"/>
  <c r="C9" i="48"/>
  <c r="D9" i="48"/>
  <c r="E9" i="48"/>
  <c r="F9" i="48"/>
  <c r="C10" i="48"/>
  <c r="D10" i="48"/>
  <c r="E10" i="48"/>
  <c r="F10" i="48"/>
  <c r="C11" i="48"/>
  <c r="D11" i="48"/>
  <c r="E11" i="48"/>
  <c r="F11" i="48"/>
  <c r="C12" i="48"/>
  <c r="D12" i="48"/>
  <c r="E12" i="48"/>
  <c r="F12" i="48"/>
  <c r="C13" i="48"/>
  <c r="D13" i="48"/>
  <c r="E13" i="48"/>
  <c r="F13" i="48"/>
  <c r="C14" i="48"/>
  <c r="D14" i="48"/>
  <c r="E14" i="48"/>
  <c r="F14" i="48"/>
  <c r="C15" i="48"/>
  <c r="D15" i="48"/>
  <c r="F15" i="48"/>
  <c r="F16" i="48"/>
  <c r="D16" i="48"/>
  <c r="G16" i="48"/>
  <c r="G6" i="48"/>
  <c r="I6" i="48"/>
  <c r="G7" i="48"/>
  <c r="I7" i="48"/>
  <c r="H8" i="48"/>
  <c r="G8" i="48"/>
  <c r="I8" i="48"/>
  <c r="G9" i="48"/>
  <c r="I9" i="48"/>
  <c r="H10" i="48"/>
  <c r="G10" i="48"/>
  <c r="I10" i="48"/>
  <c r="I11" i="48"/>
  <c r="I12" i="48"/>
  <c r="I13" i="48"/>
  <c r="I14" i="48"/>
  <c r="H15" i="48"/>
  <c r="G15" i="48"/>
  <c r="I15" i="48"/>
  <c r="I16" i="48"/>
  <c r="C3" i="48"/>
  <c r="B3" i="48"/>
  <c r="F33" i="48"/>
  <c r="E33" i="48"/>
  <c r="G33" i="48"/>
  <c r="B33" i="48"/>
  <c r="H33" i="48"/>
  <c r="I33" i="48"/>
  <c r="E3" i="48"/>
  <c r="B5" i="43"/>
  <c r="C5" i="43"/>
  <c r="D5" i="43"/>
  <c r="H5" i="43"/>
  <c r="I5" i="43"/>
  <c r="B39" i="47"/>
  <c r="D3" i="47"/>
  <c r="C6" i="47"/>
  <c r="D6" i="47"/>
  <c r="H6" i="47"/>
  <c r="F6" i="47"/>
  <c r="C7" i="47"/>
  <c r="D7" i="47"/>
  <c r="E7" i="47"/>
  <c r="F7" i="47"/>
  <c r="C8" i="47"/>
  <c r="D8" i="47"/>
  <c r="E8" i="47"/>
  <c r="F8" i="47"/>
  <c r="C9" i="47"/>
  <c r="D9" i="47"/>
  <c r="E9" i="47"/>
  <c r="F9" i="47"/>
  <c r="C10" i="47"/>
  <c r="D10" i="47"/>
  <c r="E10" i="47"/>
  <c r="F10" i="47"/>
  <c r="C11" i="47"/>
  <c r="D11" i="47"/>
  <c r="E11" i="47"/>
  <c r="F11" i="47"/>
  <c r="C12" i="47"/>
  <c r="D12" i="47"/>
  <c r="E12" i="47"/>
  <c r="F12" i="47"/>
  <c r="C13" i="47"/>
  <c r="D13" i="47"/>
  <c r="E13" i="47"/>
  <c r="F13" i="47"/>
  <c r="C14" i="47"/>
  <c r="D14" i="47"/>
  <c r="E14" i="47"/>
  <c r="F14" i="47"/>
  <c r="C15" i="47"/>
  <c r="D15" i="47"/>
  <c r="F15" i="47"/>
  <c r="F16" i="47"/>
  <c r="D16" i="47"/>
  <c r="G16" i="47"/>
  <c r="G6" i="47"/>
  <c r="I6" i="47"/>
  <c r="G7" i="47"/>
  <c r="I7" i="47"/>
  <c r="H8" i="47"/>
  <c r="G8" i="47"/>
  <c r="I8" i="47"/>
  <c r="G9" i="47"/>
  <c r="I9" i="47"/>
  <c r="H10" i="47"/>
  <c r="G10" i="47"/>
  <c r="I10" i="47"/>
  <c r="I11" i="47"/>
  <c r="I12" i="47"/>
  <c r="I13" i="47"/>
  <c r="I14" i="47"/>
  <c r="H15" i="47"/>
  <c r="G15" i="47"/>
  <c r="I15" i="47"/>
  <c r="I16" i="47"/>
  <c r="C3" i="47"/>
  <c r="B3" i="47"/>
  <c r="F33" i="47"/>
  <c r="E33" i="47"/>
  <c r="G33" i="47"/>
  <c r="B33" i="47"/>
  <c r="H33" i="47"/>
  <c r="I33" i="47"/>
  <c r="E3" i="47"/>
  <c r="B5" i="39"/>
  <c r="C5" i="39"/>
  <c r="D5" i="39"/>
  <c r="H5" i="39"/>
  <c r="I5" i="39"/>
  <c r="B39" i="46"/>
  <c r="D3" i="46"/>
  <c r="C6" i="46"/>
  <c r="D6" i="46"/>
  <c r="H6" i="46"/>
  <c r="F6" i="46"/>
  <c r="C7" i="46"/>
  <c r="D7" i="46"/>
  <c r="E7" i="46"/>
  <c r="F7" i="46"/>
  <c r="C8" i="46"/>
  <c r="D8" i="46"/>
  <c r="E8" i="46"/>
  <c r="F8" i="46"/>
  <c r="C9" i="46"/>
  <c r="D9" i="46"/>
  <c r="E9" i="46"/>
  <c r="F9" i="46"/>
  <c r="C10" i="46"/>
  <c r="D10" i="46"/>
  <c r="E10" i="46"/>
  <c r="F10" i="46"/>
  <c r="C11" i="46"/>
  <c r="D11" i="46"/>
  <c r="E11" i="46"/>
  <c r="F11" i="46"/>
  <c r="C12" i="46"/>
  <c r="D12" i="46"/>
  <c r="E12" i="46"/>
  <c r="F12" i="46"/>
  <c r="C13" i="46"/>
  <c r="D13" i="46"/>
  <c r="E13" i="46"/>
  <c r="F13" i="46"/>
  <c r="C14" i="46"/>
  <c r="D14" i="46"/>
  <c r="E14" i="46"/>
  <c r="F14" i="46"/>
  <c r="C15" i="46"/>
  <c r="D15" i="46"/>
  <c r="F15" i="46"/>
  <c r="F16" i="46"/>
  <c r="D16" i="46"/>
  <c r="G16" i="46"/>
  <c r="G6" i="46"/>
  <c r="I6" i="46"/>
  <c r="G7" i="46"/>
  <c r="I7" i="46"/>
  <c r="H8" i="46"/>
  <c r="G8" i="46"/>
  <c r="I8" i="46"/>
  <c r="G9" i="46"/>
  <c r="I9" i="46"/>
  <c r="H10" i="46"/>
  <c r="G10" i="46"/>
  <c r="I10" i="46"/>
  <c r="I11" i="46"/>
  <c r="I12" i="46"/>
  <c r="I13" i="46"/>
  <c r="I14" i="46"/>
  <c r="H15" i="46"/>
  <c r="G15" i="46"/>
  <c r="I15" i="46"/>
  <c r="I16" i="46"/>
  <c r="C3" i="46"/>
  <c r="B3" i="46"/>
  <c r="F33" i="46"/>
  <c r="E33" i="46"/>
  <c r="G33" i="46"/>
  <c r="B33" i="46"/>
  <c r="H33" i="46"/>
  <c r="I33" i="46"/>
  <c r="E3" i="46"/>
  <c r="B5" i="38"/>
  <c r="C5" i="38"/>
  <c r="D5" i="38"/>
  <c r="H5" i="38"/>
  <c r="I5" i="38"/>
  <c r="C20" i="46"/>
  <c r="D20" i="46"/>
  <c r="C21" i="46"/>
  <c r="D21" i="46"/>
  <c r="C22" i="46"/>
  <c r="D22" i="46"/>
  <c r="C23" i="46"/>
  <c r="D23" i="46"/>
  <c r="C24" i="46"/>
  <c r="D24" i="46"/>
  <c r="C25" i="46"/>
  <c r="D25" i="46"/>
  <c r="C26" i="46"/>
  <c r="D26" i="46"/>
  <c r="C27" i="46"/>
  <c r="D27" i="46"/>
  <c r="Q4" i="7"/>
  <c r="Q3" i="7"/>
  <c r="R3" i="7"/>
  <c r="C20" i="47"/>
  <c r="D20" i="47"/>
  <c r="C21" i="47"/>
  <c r="D21" i="47"/>
  <c r="C22" i="47"/>
  <c r="D22" i="47"/>
  <c r="C23" i="47"/>
  <c r="D23" i="47"/>
  <c r="C24" i="47"/>
  <c r="D24" i="47"/>
  <c r="C25" i="47"/>
  <c r="D25" i="47"/>
  <c r="C26" i="47"/>
  <c r="D26" i="47"/>
  <c r="C27" i="47"/>
  <c r="D27" i="47"/>
  <c r="C11" i="40"/>
  <c r="C20" i="40"/>
  <c r="C21" i="40"/>
  <c r="F23" i="40"/>
  <c r="F27" i="40"/>
  <c r="C20" i="48"/>
  <c r="D20" i="48"/>
  <c r="C21" i="48"/>
  <c r="D21" i="48"/>
  <c r="C22" i="48"/>
  <c r="D22" i="48"/>
  <c r="C23" i="48"/>
  <c r="D23" i="48"/>
  <c r="C24" i="48"/>
  <c r="D24" i="48"/>
  <c r="C25" i="48"/>
  <c r="D25" i="48"/>
  <c r="C26" i="48"/>
  <c r="D26" i="48"/>
  <c r="C27" i="48"/>
  <c r="D27" i="48"/>
  <c r="C11" i="45"/>
  <c r="C20" i="45"/>
  <c r="C21" i="45"/>
  <c r="F23" i="45"/>
  <c r="F27" i="45"/>
  <c r="D5" i="51"/>
  <c r="B5" i="51"/>
  <c r="C5" i="51"/>
  <c r="H5" i="51"/>
  <c r="I5" i="51"/>
  <c r="D3" i="52"/>
  <c r="C7" i="52"/>
  <c r="C20" i="52"/>
  <c r="D20" i="52"/>
  <c r="C8" i="52"/>
  <c r="C21" i="52"/>
  <c r="D21" i="52"/>
  <c r="C9" i="52"/>
  <c r="C22" i="52"/>
  <c r="D22" i="52"/>
  <c r="C10" i="52"/>
  <c r="C23" i="52"/>
  <c r="D23" i="52"/>
  <c r="C11" i="52"/>
  <c r="C24" i="52"/>
  <c r="D24" i="52"/>
  <c r="C12" i="52"/>
  <c r="C25" i="52"/>
  <c r="D25" i="52"/>
  <c r="C13" i="52"/>
  <c r="C26" i="52"/>
  <c r="D26" i="52"/>
  <c r="C14" i="52"/>
  <c r="C27" i="52"/>
  <c r="D27" i="52"/>
  <c r="C6" i="52"/>
  <c r="D6" i="52"/>
  <c r="H6" i="52"/>
  <c r="F6" i="52"/>
  <c r="D7" i="52"/>
  <c r="E7" i="52"/>
  <c r="F7" i="52"/>
  <c r="D8" i="52"/>
  <c r="E8" i="52"/>
  <c r="F8" i="52"/>
  <c r="D9" i="52"/>
  <c r="E9" i="52"/>
  <c r="F9" i="52"/>
  <c r="D10" i="52"/>
  <c r="E10" i="52"/>
  <c r="F10" i="52"/>
  <c r="D11" i="52"/>
  <c r="E11" i="52"/>
  <c r="F11" i="52"/>
  <c r="D12" i="52"/>
  <c r="E12" i="52"/>
  <c r="F12" i="52"/>
  <c r="D13" i="52"/>
  <c r="E13" i="52"/>
  <c r="F13" i="52"/>
  <c r="D14" i="52"/>
  <c r="E14" i="52"/>
  <c r="F14" i="52"/>
  <c r="C15" i="52"/>
  <c r="D15" i="52"/>
  <c r="F15" i="52"/>
  <c r="F16" i="52"/>
  <c r="D16" i="52"/>
  <c r="G16" i="52"/>
  <c r="G6" i="52"/>
  <c r="I6" i="52"/>
  <c r="G7" i="52"/>
  <c r="I7" i="52"/>
  <c r="H8" i="52"/>
  <c r="G8" i="52"/>
  <c r="I8" i="52"/>
  <c r="G9" i="52"/>
  <c r="I9" i="52"/>
  <c r="H10" i="52"/>
  <c r="G10" i="52"/>
  <c r="I10" i="52"/>
  <c r="I11" i="52"/>
  <c r="I12" i="52"/>
  <c r="I13" i="52"/>
  <c r="I14" i="52"/>
  <c r="H15" i="52"/>
  <c r="G15" i="52"/>
  <c r="I15" i="52"/>
  <c r="I16" i="52"/>
  <c r="C3" i="52"/>
  <c r="B3" i="52"/>
  <c r="F33" i="52"/>
  <c r="E33" i="52"/>
  <c r="G33" i="52"/>
  <c r="B33" i="52"/>
  <c r="H33" i="52"/>
  <c r="I33" i="52"/>
  <c r="E3" i="52"/>
  <c r="B39" i="52"/>
  <c r="C11" i="54"/>
  <c r="F58" i="2"/>
  <c r="F59" i="2"/>
  <c r="F60" i="2"/>
  <c r="F61" i="2"/>
  <c r="F62" i="2"/>
  <c r="F63" i="2"/>
  <c r="F64" i="2"/>
  <c r="F65" i="2"/>
  <c r="F66" i="2"/>
  <c r="F67" i="2"/>
  <c r="D58" i="2"/>
  <c r="D59" i="2"/>
  <c r="D60" i="2"/>
  <c r="D61" i="2"/>
  <c r="D62" i="2"/>
  <c r="D63" i="2"/>
  <c r="D64" i="2"/>
  <c r="D65" i="2"/>
  <c r="D66" i="2"/>
  <c r="D67" i="2"/>
  <c r="G67" i="2"/>
  <c r="I58" i="2"/>
  <c r="I59" i="2"/>
  <c r="I60" i="2"/>
  <c r="I61" i="2"/>
  <c r="I62" i="2"/>
  <c r="I63" i="2"/>
  <c r="I64" i="2"/>
  <c r="I65" i="2"/>
  <c r="I66" i="2"/>
  <c r="I67" i="2"/>
  <c r="E62" i="2"/>
  <c r="E58" i="2"/>
  <c r="G58" i="2"/>
  <c r="H58" i="2"/>
  <c r="E59" i="2"/>
  <c r="G59" i="2"/>
  <c r="H59" i="2"/>
  <c r="E60" i="2"/>
  <c r="G60" i="2"/>
  <c r="H60" i="2"/>
  <c r="E61" i="2"/>
  <c r="G61" i="2"/>
  <c r="H61" i="2"/>
  <c r="G62" i="2"/>
  <c r="H62" i="2"/>
  <c r="E63" i="2"/>
  <c r="G12" i="2"/>
  <c r="G63" i="2"/>
  <c r="H12" i="2"/>
  <c r="H63" i="2"/>
  <c r="E64" i="2"/>
  <c r="G13" i="2"/>
  <c r="G64" i="2"/>
  <c r="H13" i="2"/>
  <c r="H64" i="2"/>
  <c r="E65" i="2"/>
  <c r="G14" i="2"/>
  <c r="G65" i="2"/>
  <c r="H14" i="2"/>
  <c r="H65" i="2"/>
  <c r="E66" i="2"/>
  <c r="G66" i="2"/>
  <c r="H66" i="2"/>
  <c r="C64" i="2"/>
  <c r="C65" i="2"/>
  <c r="C66" i="2"/>
  <c r="C63" i="2"/>
  <c r="C59" i="2"/>
  <c r="C62" i="2"/>
  <c r="C61" i="2"/>
  <c r="C60" i="2"/>
  <c r="C58" i="2"/>
  <c r="D51" i="2"/>
  <c r="D52" i="2"/>
  <c r="D53" i="2"/>
  <c r="D50" i="2"/>
  <c r="C52" i="2"/>
  <c r="C53" i="2"/>
  <c r="C51" i="2"/>
  <c r="C50" i="2"/>
  <c r="D47" i="2"/>
  <c r="D48" i="2"/>
  <c r="D49" i="2"/>
  <c r="C47" i="2"/>
  <c r="C48" i="2"/>
  <c r="C49" i="2"/>
  <c r="H11" i="2"/>
  <c r="G11" i="2"/>
  <c r="N60" i="7"/>
  <c r="N61" i="7"/>
  <c r="N59" i="7"/>
  <c r="N58" i="7"/>
  <c r="N57" i="7"/>
  <c r="N51" i="7"/>
  <c r="N53" i="7"/>
  <c r="N55" i="7"/>
  <c r="N49" i="7"/>
  <c r="I49" i="7"/>
  <c r="J49" i="7"/>
  <c r="I50" i="7"/>
  <c r="J50" i="7"/>
  <c r="I51" i="7"/>
  <c r="J51" i="7"/>
  <c r="K51" i="7"/>
  <c r="L51" i="7"/>
  <c r="I52" i="7"/>
  <c r="J52" i="7"/>
  <c r="K52" i="7"/>
  <c r="L52" i="7"/>
  <c r="I53" i="7"/>
  <c r="J53" i="7"/>
  <c r="K53" i="7"/>
  <c r="L53" i="7"/>
  <c r="I54" i="7"/>
  <c r="J54" i="7"/>
  <c r="K54" i="7"/>
  <c r="L54" i="7"/>
  <c r="I55" i="7"/>
  <c r="J55" i="7"/>
  <c r="K55" i="7"/>
  <c r="L55" i="7"/>
  <c r="I56" i="7"/>
  <c r="J56" i="7"/>
  <c r="K56" i="7"/>
  <c r="L56" i="7"/>
  <c r="I57" i="7"/>
  <c r="J57" i="7"/>
  <c r="K57" i="7"/>
  <c r="L57" i="7"/>
  <c r="I58" i="7"/>
  <c r="J58" i="7"/>
  <c r="K58" i="7"/>
  <c r="L58" i="7"/>
  <c r="I59" i="7"/>
  <c r="J59" i="7"/>
  <c r="K59" i="7"/>
  <c r="L59" i="7"/>
  <c r="I60" i="7"/>
  <c r="J60" i="7"/>
  <c r="K60" i="7"/>
  <c r="L60" i="7"/>
  <c r="I61" i="7"/>
  <c r="J61" i="7"/>
  <c r="K61" i="7"/>
  <c r="L61" i="7"/>
  <c r="J62" i="7"/>
  <c r="R5" i="7"/>
  <c r="F3" i="7"/>
  <c r="A12" i="54"/>
  <c r="A13" i="54"/>
  <c r="A14" i="54"/>
  <c r="A15" i="54"/>
  <c r="B10" i="51"/>
  <c r="C10" i="51"/>
  <c r="D10" i="51"/>
  <c r="H10" i="51"/>
  <c r="I10" i="51"/>
  <c r="F23" i="54"/>
  <c r="C21" i="54"/>
  <c r="C20" i="54"/>
  <c r="F27" i="54"/>
  <c r="D31" i="55"/>
  <c r="D30" i="55"/>
  <c r="D29" i="55"/>
  <c r="K3" i="7"/>
  <c r="D3" i="54"/>
  <c r="I11" i="54"/>
  <c r="I12" i="54"/>
  <c r="I14" i="54"/>
  <c r="I16" i="54"/>
  <c r="I17" i="54"/>
  <c r="I19" i="54"/>
  <c r="I20" i="54"/>
  <c r="I21" i="54"/>
  <c r="I23" i="54"/>
  <c r="I24" i="54"/>
  <c r="I25" i="54"/>
  <c r="I26" i="54"/>
  <c r="I27" i="54"/>
  <c r="I21" i="45"/>
  <c r="I20" i="45"/>
  <c r="I21" i="40"/>
  <c r="I20" i="40"/>
  <c r="I21" i="6"/>
  <c r="I20" i="6"/>
  <c r="I11" i="45"/>
  <c r="I12" i="45"/>
  <c r="I14" i="45"/>
  <c r="I16" i="45"/>
  <c r="I17" i="45"/>
  <c r="I19" i="45"/>
  <c r="I23" i="45"/>
  <c r="I24" i="45"/>
  <c r="I25" i="45"/>
  <c r="I26" i="45"/>
  <c r="I27" i="45"/>
  <c r="I11" i="40"/>
  <c r="I12" i="40"/>
  <c r="I14" i="40"/>
  <c r="I16" i="40"/>
  <c r="I17" i="40"/>
  <c r="I19" i="40"/>
  <c r="I23" i="40"/>
  <c r="I24" i="40"/>
  <c r="I25" i="40"/>
  <c r="I26" i="40"/>
  <c r="I27" i="40"/>
  <c r="I11" i="6"/>
  <c r="A15" i="45"/>
  <c r="A14" i="45"/>
  <c r="A13" i="45"/>
  <c r="A12" i="45"/>
  <c r="A15" i="40"/>
  <c r="A14" i="40"/>
  <c r="A13" i="40"/>
  <c r="A12" i="40"/>
  <c r="A13" i="6"/>
  <c r="A14" i="6"/>
  <c r="A15" i="6"/>
  <c r="A12" i="6"/>
  <c r="D3" i="3"/>
  <c r="B3" i="3"/>
  <c r="C3" i="3"/>
  <c r="I22" i="54"/>
  <c r="I18" i="54"/>
  <c r="I15" i="54"/>
  <c r="I13" i="54"/>
  <c r="E6" i="54"/>
  <c r="D6" i="54"/>
  <c r="C3" i="54"/>
  <c r="B6" i="54"/>
  <c r="C6" i="54"/>
  <c r="L23" i="52"/>
  <c r="H14" i="52"/>
  <c r="G14" i="52"/>
  <c r="H13" i="52"/>
  <c r="G13" i="52"/>
  <c r="H12" i="52"/>
  <c r="G12" i="52"/>
  <c r="H11" i="52"/>
  <c r="G11" i="52"/>
  <c r="L10" i="52"/>
  <c r="E10" i="51"/>
  <c r="E5" i="51"/>
  <c r="L23" i="50"/>
  <c r="H14" i="50"/>
  <c r="G14" i="50"/>
  <c r="H13" i="50"/>
  <c r="G13" i="50"/>
  <c r="H12" i="50"/>
  <c r="G12" i="50"/>
  <c r="H11" i="50"/>
  <c r="G11" i="50"/>
  <c r="L10" i="50"/>
  <c r="E5" i="49"/>
  <c r="D3" i="45"/>
  <c r="D3" i="40"/>
  <c r="D3" i="6"/>
  <c r="L23" i="48"/>
  <c r="H14" i="48"/>
  <c r="G14" i="48"/>
  <c r="H13" i="48"/>
  <c r="G13" i="48"/>
  <c r="H12" i="48"/>
  <c r="G12" i="48"/>
  <c r="H11" i="48"/>
  <c r="G11" i="48"/>
  <c r="L10" i="48"/>
  <c r="L23" i="42"/>
  <c r="L23" i="47"/>
  <c r="H14" i="47"/>
  <c r="G14" i="47"/>
  <c r="H13" i="47"/>
  <c r="G13" i="47"/>
  <c r="H12" i="47"/>
  <c r="G12" i="47"/>
  <c r="H11" i="47"/>
  <c r="G11" i="47"/>
  <c r="L10" i="47"/>
  <c r="L23" i="35"/>
  <c r="L23" i="46"/>
  <c r="J19" i="46"/>
  <c r="H14" i="46"/>
  <c r="G14" i="46"/>
  <c r="H13" i="46"/>
  <c r="G13" i="46"/>
  <c r="H12" i="46"/>
  <c r="G12" i="46"/>
  <c r="H11" i="46"/>
  <c r="G11" i="46"/>
  <c r="L10" i="46"/>
  <c r="J6" i="46"/>
  <c r="L23" i="2"/>
  <c r="J19" i="2"/>
  <c r="J6" i="2"/>
  <c r="D17" i="7"/>
  <c r="I45" i="7"/>
  <c r="I46" i="7"/>
  <c r="I22" i="45"/>
  <c r="I18" i="45"/>
  <c r="I15" i="45"/>
  <c r="I13" i="45"/>
  <c r="E6" i="45"/>
  <c r="D6" i="45"/>
  <c r="C3" i="45"/>
  <c r="B6" i="45"/>
  <c r="C6" i="45"/>
  <c r="E5" i="43"/>
  <c r="H14" i="42"/>
  <c r="H13" i="42"/>
  <c r="H12" i="42"/>
  <c r="H11" i="42"/>
  <c r="E5" i="41"/>
  <c r="I22" i="40"/>
  <c r="I18" i="40"/>
  <c r="I15" i="40"/>
  <c r="I13" i="40"/>
  <c r="C3" i="40"/>
  <c r="B6" i="40"/>
  <c r="C6" i="40"/>
  <c r="E5" i="39"/>
  <c r="E5" i="38"/>
  <c r="H14" i="35"/>
  <c r="H12" i="35"/>
  <c r="H11" i="35"/>
  <c r="E5" i="26"/>
  <c r="F32" i="7"/>
  <c r="F33" i="7"/>
  <c r="F35" i="7"/>
  <c r="D44" i="7"/>
  <c r="C3" i="6"/>
  <c r="E5" i="1"/>
  <c r="B6" i="6"/>
  <c r="C6" i="6"/>
  <c r="F34" i="7"/>
  <c r="E44" i="7"/>
  <c r="E6" i="6"/>
  <c r="D6" i="6"/>
  <c r="L10" i="2"/>
  <c r="I22" i="7"/>
  <c r="C44" i="7"/>
  <c r="C45" i="7"/>
  <c r="I20" i="7"/>
  <c r="I23" i="7"/>
  <c r="I21" i="7"/>
  <c r="I24" i="7"/>
  <c r="D4" i="7"/>
  <c r="H13" i="35"/>
  <c r="D6" i="40"/>
  <c r="E6" i="40"/>
  <c r="G14" i="35"/>
  <c r="G13" i="35"/>
  <c r="G12" i="35"/>
  <c r="G11" i="35"/>
  <c r="L10" i="35"/>
  <c r="L10" i="42"/>
  <c r="G11" i="42"/>
  <c r="G12" i="42"/>
  <c r="G13" i="42"/>
  <c r="G14" i="42"/>
  <c r="J5" i="38"/>
  <c r="L5" i="38"/>
  <c r="M5" i="38"/>
  <c r="N5" i="38"/>
  <c r="O5" i="38"/>
  <c r="C19" i="46"/>
  <c r="D19" i="46"/>
  <c r="C28" i="46"/>
  <c r="D28" i="46"/>
  <c r="D29" i="46"/>
  <c r="B36" i="46"/>
  <c r="C39" i="46"/>
  <c r="D39" i="46"/>
  <c r="E39" i="46"/>
  <c r="B42" i="46"/>
  <c r="C42" i="46"/>
  <c r="J5" i="39"/>
  <c r="L5" i="39"/>
  <c r="M5" i="39"/>
  <c r="N5" i="39"/>
  <c r="O5" i="39"/>
  <c r="C19" i="47"/>
  <c r="D19" i="47"/>
  <c r="C28" i="47"/>
  <c r="D28" i="47"/>
  <c r="D29" i="47"/>
  <c r="B36" i="47"/>
  <c r="C39" i="47"/>
  <c r="D39" i="47"/>
  <c r="E39" i="47"/>
  <c r="B42" i="47"/>
  <c r="C42" i="47"/>
  <c r="J5" i="43"/>
  <c r="L5" i="43"/>
  <c r="M5" i="43"/>
  <c r="N5" i="43"/>
  <c r="O5" i="43"/>
  <c r="C19" i="48"/>
  <c r="D19" i="48"/>
  <c r="C28" i="48"/>
  <c r="D28" i="48"/>
  <c r="D29" i="48"/>
  <c r="B36" i="48"/>
  <c r="C39" i="48"/>
  <c r="D39" i="48"/>
  <c r="E39" i="48"/>
  <c r="B42" i="48"/>
  <c r="C42" i="48"/>
  <c r="H11" i="45"/>
  <c r="J11" i="45"/>
  <c r="H12" i="45"/>
  <c r="J12" i="45"/>
  <c r="H13" i="45"/>
  <c r="J13" i="45"/>
  <c r="H14" i="45"/>
  <c r="J14" i="45"/>
  <c r="H15" i="45"/>
  <c r="J15" i="45"/>
  <c r="H16" i="45"/>
  <c r="J16" i="45"/>
  <c r="H17" i="45"/>
  <c r="J17" i="45"/>
  <c r="H18" i="45"/>
  <c r="J18" i="45"/>
  <c r="H19" i="45"/>
  <c r="J19" i="45"/>
  <c r="H20" i="45"/>
  <c r="J20" i="45"/>
  <c r="H21" i="45"/>
  <c r="J21" i="45"/>
  <c r="H22" i="45"/>
  <c r="J22" i="45"/>
  <c r="H23" i="45"/>
  <c r="J23" i="45"/>
  <c r="H24" i="45"/>
  <c r="J24" i="45"/>
  <c r="H25" i="45"/>
  <c r="J25" i="45"/>
  <c r="H26" i="45"/>
  <c r="J26" i="45"/>
  <c r="H27" i="45"/>
  <c r="J27" i="45"/>
  <c r="J28" i="45"/>
  <c r="H29" i="45"/>
  <c r="C30" i="45"/>
  <c r="C31" i="45"/>
  <c r="C32" i="45"/>
  <c r="B35" i="45"/>
  <c r="E35" i="45"/>
  <c r="J29" i="45"/>
  <c r="J30" i="45"/>
  <c r="E6" i="44"/>
  <c r="E42" i="42"/>
  <c r="G42" i="42"/>
  <c r="E42" i="35"/>
  <c r="G42" i="35"/>
  <c r="E42" i="2"/>
  <c r="G42" i="2"/>
  <c r="H11" i="6"/>
  <c r="J11" i="6"/>
  <c r="J20" i="6"/>
  <c r="J21" i="6"/>
  <c r="J28" i="6"/>
  <c r="C30" i="6"/>
  <c r="C31" i="6"/>
  <c r="C32" i="6"/>
  <c r="B35" i="6"/>
  <c r="E35" i="6"/>
  <c r="J29" i="6"/>
  <c r="J30" i="6"/>
  <c r="E6" i="36"/>
  <c r="H12" i="40"/>
  <c r="J12" i="40"/>
  <c r="H13" i="40"/>
  <c r="J13" i="40"/>
  <c r="H14" i="40"/>
  <c r="J14" i="40"/>
  <c r="H16" i="40"/>
  <c r="J16" i="40"/>
  <c r="H17" i="40"/>
  <c r="J17" i="40"/>
  <c r="H18" i="40"/>
  <c r="J18" i="40"/>
  <c r="H23" i="40"/>
  <c r="J23" i="40"/>
  <c r="H24" i="40"/>
  <c r="J24" i="40"/>
  <c r="H25" i="40"/>
  <c r="J25" i="40"/>
  <c r="H11" i="40"/>
  <c r="J11" i="40"/>
  <c r="H15" i="40"/>
  <c r="J15" i="40"/>
  <c r="H19" i="40"/>
  <c r="J19" i="40"/>
  <c r="H20" i="40"/>
  <c r="J20" i="40"/>
  <c r="H21" i="40"/>
  <c r="J21" i="40"/>
  <c r="H22" i="40"/>
  <c r="J22" i="40"/>
  <c r="H26" i="40"/>
  <c r="J26" i="40"/>
  <c r="H27" i="40"/>
  <c r="J27" i="40"/>
  <c r="J28" i="40"/>
  <c r="J29" i="40"/>
  <c r="J30" i="40"/>
  <c r="H29" i="40"/>
  <c r="C30" i="40"/>
  <c r="C31" i="40"/>
  <c r="C32" i="40"/>
  <c r="B35" i="40"/>
  <c r="E35" i="40"/>
  <c r="G3" i="3"/>
  <c r="H3" i="3"/>
  <c r="F3" i="3"/>
  <c r="B6" i="3"/>
  <c r="C6" i="3"/>
  <c r="D6" i="3"/>
  <c r="E6" i="3"/>
  <c r="L41" i="7"/>
  <c r="N41" i="7"/>
  <c r="P41" i="7"/>
  <c r="L30" i="7"/>
  <c r="N30" i="7"/>
  <c r="L31" i="7"/>
  <c r="N31" i="7"/>
  <c r="L32" i="7"/>
  <c r="N32" i="7"/>
  <c r="L33" i="7"/>
  <c r="N33" i="7"/>
  <c r="L34" i="7"/>
  <c r="N34" i="7"/>
  <c r="L35" i="7"/>
  <c r="N35" i="7"/>
  <c r="L36" i="7"/>
  <c r="N36" i="7"/>
  <c r="L37" i="7"/>
  <c r="N37" i="7"/>
  <c r="L38" i="7"/>
  <c r="N38" i="7"/>
  <c r="L39" i="7"/>
  <c r="N39" i="7"/>
  <c r="L40" i="7"/>
  <c r="N40" i="7"/>
  <c r="L42" i="7"/>
  <c r="N42" i="7"/>
  <c r="N44" i="7"/>
  <c r="N45" i="7"/>
  <c r="N46" i="7"/>
  <c r="E42" i="47"/>
  <c r="G42" i="47"/>
  <c r="E42" i="48"/>
  <c r="G42" i="48"/>
  <c r="B36" i="6"/>
  <c r="D36" i="6"/>
  <c r="B36" i="40"/>
  <c r="D36" i="40"/>
  <c r="B36" i="45"/>
  <c r="D36" i="45"/>
  <c r="E42" i="50"/>
  <c r="G42" i="50"/>
  <c r="J5" i="51"/>
  <c r="L5" i="51"/>
  <c r="M5" i="51"/>
  <c r="N5" i="51"/>
  <c r="O5" i="51"/>
  <c r="C19" i="52"/>
  <c r="D19" i="52"/>
  <c r="C28" i="52"/>
  <c r="D28" i="52"/>
  <c r="D29" i="52"/>
  <c r="B36" i="52"/>
  <c r="C39" i="52"/>
  <c r="D39" i="52"/>
  <c r="E39" i="52"/>
  <c r="B42" i="52"/>
  <c r="E42" i="52"/>
  <c r="G42" i="52"/>
  <c r="E6" i="53"/>
  <c r="C42" i="52"/>
  <c r="H11" i="54"/>
  <c r="J11" i="54"/>
  <c r="H12" i="54"/>
  <c r="J12" i="54"/>
  <c r="H13" i="54"/>
  <c r="J13" i="54"/>
  <c r="H14" i="54"/>
  <c r="J14" i="54"/>
  <c r="H15" i="54"/>
  <c r="J15" i="54"/>
  <c r="H16" i="54"/>
  <c r="J16" i="54"/>
  <c r="H17" i="54"/>
  <c r="J17" i="54"/>
  <c r="H18" i="54"/>
  <c r="J18" i="54"/>
  <c r="H19" i="54"/>
  <c r="J19" i="54"/>
  <c r="H20" i="54"/>
  <c r="J20" i="54"/>
  <c r="H21" i="54"/>
  <c r="J21" i="54"/>
  <c r="H22" i="54"/>
  <c r="J22" i="54"/>
  <c r="H23" i="54"/>
  <c r="J23" i="54"/>
  <c r="H24" i="54"/>
  <c r="J24" i="54"/>
  <c r="H25" i="54"/>
  <c r="J25" i="54"/>
  <c r="H26" i="54"/>
  <c r="J26" i="54"/>
  <c r="H27" i="54"/>
  <c r="J27" i="54"/>
  <c r="J28" i="54"/>
  <c r="J29" i="54"/>
  <c r="J30" i="54"/>
  <c r="H29" i="54"/>
  <c r="C30" i="54"/>
  <c r="C31" i="54"/>
  <c r="C32" i="54"/>
  <c r="B35" i="54"/>
  <c r="E35" i="54"/>
  <c r="B36" i="54"/>
  <c r="D36" i="54"/>
  <c r="A16" i="6"/>
  <c r="A16" i="40"/>
  <c r="A16" i="45"/>
  <c r="E42" i="46"/>
  <c r="G42" i="46"/>
  <c r="C38" i="55"/>
  <c r="J10" i="51"/>
  <c r="L10" i="51"/>
  <c r="M10" i="51"/>
  <c r="N10" i="51"/>
  <c r="O10" i="51"/>
  <c r="A16" i="54"/>
  <c r="K49" i="7"/>
  <c r="L49" i="7"/>
  <c r="K50" i="7"/>
  <c r="L50" i="7"/>
  <c r="L62" i="7"/>
  <c r="M62" i="7"/>
  <c r="M49" i="7"/>
  <c r="M61" i="7"/>
  <c r="M60" i="7"/>
  <c r="M59" i="7"/>
  <c r="M58" i="7"/>
  <c r="M57" i="7"/>
  <c r="M56" i="7"/>
  <c r="M55" i="7"/>
  <c r="M54" i="7"/>
  <c r="M53" i="7"/>
  <c r="M52" i="7"/>
  <c r="M51" i="7"/>
  <c r="M50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D46" i="2"/>
  <c r="D54" i="2"/>
  <c r="D55" i="2"/>
  <c r="C46" i="2"/>
  <c r="C54" i="2"/>
</calcChain>
</file>

<file path=xl/sharedStrings.xml><?xml version="1.0" encoding="utf-8"?>
<sst xmlns="http://schemas.openxmlformats.org/spreadsheetml/2006/main" count="990" uniqueCount="189">
  <si>
    <t>t</t>
  </si>
  <si>
    <t>k</t>
  </si>
  <si>
    <t>E (N/mm²)</t>
  </si>
  <si>
    <t>ρ</t>
  </si>
  <si>
    <t>be1=be2</t>
  </si>
  <si>
    <t>Elément</t>
  </si>
  <si>
    <t>total</t>
  </si>
  <si>
    <t>h</t>
  </si>
  <si>
    <t>Calcul de la position de l'axe neutre de la section</t>
  </si>
  <si>
    <t>λ</t>
  </si>
  <si>
    <t>χ</t>
  </si>
  <si>
    <t>I/t</t>
  </si>
  <si>
    <t>M</t>
  </si>
  <si>
    <t>Element</t>
  </si>
  <si>
    <t>zcg</t>
  </si>
  <si>
    <t>partie extérieure</t>
  </si>
  <si>
    <r>
      <t>θ</t>
    </r>
    <r>
      <rPr>
        <vertAlign val="subscript"/>
        <sz val="11"/>
        <color theme="1"/>
        <rFont val="Times New Roman"/>
        <family val="1"/>
      </rPr>
      <t>1</t>
    </r>
  </si>
  <si>
    <r>
      <t>f</t>
    </r>
    <r>
      <rPr>
        <vertAlign val="subscript"/>
        <sz val="11"/>
        <color theme="1"/>
        <rFont val="Times New Roman"/>
        <family val="1"/>
      </rPr>
      <t xml:space="preserve">yb </t>
    </r>
    <r>
      <rPr>
        <sz val="11"/>
        <color theme="1"/>
        <rFont val="Times New Roman"/>
        <family val="1"/>
      </rPr>
      <t>(N/mm²)</t>
    </r>
  </si>
  <si>
    <r>
      <t>b</t>
    </r>
    <r>
      <rPr>
        <vertAlign val="subscript"/>
        <sz val="11"/>
        <color theme="1"/>
        <rFont val="Times New Roman"/>
        <family val="1"/>
      </rPr>
      <t>p</t>
    </r>
  </si>
  <si>
    <r>
      <t>λ</t>
    </r>
    <r>
      <rPr>
        <vertAlign val="subscript"/>
        <sz val="11"/>
        <color theme="1"/>
        <rFont val="Times New Roman"/>
        <family val="1"/>
      </rPr>
      <t>p</t>
    </r>
  </si>
  <si>
    <r>
      <t>b</t>
    </r>
    <r>
      <rPr>
        <vertAlign val="sub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=ρ*b</t>
    </r>
    <r>
      <rPr>
        <vertAlign val="subscript"/>
        <sz val="11"/>
        <color theme="1"/>
        <rFont val="Times New Roman"/>
        <family val="1"/>
      </rPr>
      <t>p</t>
    </r>
  </si>
  <si>
    <r>
      <t>b</t>
    </r>
    <r>
      <rPr>
        <vertAlign val="subscript"/>
        <sz val="11"/>
        <color theme="1"/>
        <rFont val="Times New Roman"/>
        <family val="1"/>
      </rPr>
      <t>s</t>
    </r>
  </si>
  <si>
    <r>
      <t>h</t>
    </r>
    <r>
      <rPr>
        <vertAlign val="subscript"/>
        <sz val="11"/>
        <color theme="1"/>
        <rFont val="Times New Roman"/>
        <family val="1"/>
      </rPr>
      <t>w</t>
    </r>
  </si>
  <si>
    <r>
      <t>s</t>
    </r>
    <r>
      <rPr>
        <vertAlign val="subscript"/>
        <sz val="11"/>
        <color theme="1"/>
        <rFont val="Times New Roman"/>
        <family val="1"/>
      </rPr>
      <t>w</t>
    </r>
  </si>
  <si>
    <r>
      <t>l</t>
    </r>
    <r>
      <rPr>
        <vertAlign val="subscript"/>
        <sz val="11"/>
        <color theme="1"/>
        <rFont val="Times New Roman"/>
        <family val="1"/>
      </rPr>
      <t>b</t>
    </r>
  </si>
  <si>
    <r>
      <t>l</t>
    </r>
    <r>
      <rPr>
        <vertAlign val="sub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/s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&gt;2</t>
    </r>
  </si>
  <si>
    <r>
      <t>k</t>
    </r>
    <r>
      <rPr>
        <vertAlign val="subscript"/>
        <sz val="11"/>
        <color theme="1"/>
        <rFont val="Times New Roman"/>
        <family val="1"/>
      </rPr>
      <t>w</t>
    </r>
  </si>
  <si>
    <r>
      <t>s</t>
    </r>
    <r>
      <rPr>
        <vertAlign val="subscript"/>
        <sz val="11"/>
        <color theme="1"/>
        <rFont val="Times New Roman"/>
        <family val="1"/>
      </rPr>
      <t>eff,0</t>
    </r>
  </si>
  <si>
    <r>
      <t>s</t>
    </r>
    <r>
      <rPr>
        <vertAlign val="subscript"/>
        <sz val="11"/>
        <color theme="1"/>
        <rFont val="Times New Roman"/>
        <family val="1"/>
      </rPr>
      <t>eff,1</t>
    </r>
  </si>
  <si>
    <r>
      <t>s</t>
    </r>
    <r>
      <rPr>
        <vertAlign val="subscript"/>
        <sz val="11"/>
        <color theme="1"/>
        <rFont val="Times New Roman"/>
        <family val="1"/>
      </rPr>
      <t>n</t>
    </r>
  </si>
  <si>
    <r>
      <t>I</t>
    </r>
    <r>
      <rPr>
        <vertAlign val="subscript"/>
        <sz val="11"/>
        <color theme="1"/>
        <rFont val="Times New Roman"/>
        <family val="1"/>
      </rPr>
      <t>1</t>
    </r>
  </si>
  <si>
    <r>
      <t>I</t>
    </r>
    <r>
      <rPr>
        <vertAlign val="subscript"/>
        <sz val="11"/>
        <color theme="1"/>
        <rFont val="Times New Roman"/>
        <family val="1"/>
      </rPr>
      <t>2</t>
    </r>
  </si>
  <si>
    <r>
      <t>I</t>
    </r>
    <r>
      <rPr>
        <vertAlign val="subscript"/>
        <sz val="11"/>
        <color theme="1"/>
        <rFont val="Times New Roman"/>
        <family val="1"/>
      </rPr>
      <t>3</t>
    </r>
  </si>
  <si>
    <r>
      <t>I</t>
    </r>
    <r>
      <rPr>
        <vertAlign val="subscript"/>
        <sz val="11"/>
        <color theme="1"/>
        <rFont val="Times New Roman"/>
        <family val="1"/>
      </rPr>
      <t>4</t>
    </r>
  </si>
  <si>
    <r>
      <t>I</t>
    </r>
    <r>
      <rPr>
        <vertAlign val="subscript"/>
        <sz val="11"/>
        <color theme="1"/>
        <rFont val="Times New Roman"/>
        <family val="1"/>
      </rPr>
      <t>5</t>
    </r>
  </si>
  <si>
    <r>
      <t>I</t>
    </r>
    <r>
      <rPr>
        <vertAlign val="subscript"/>
        <sz val="11"/>
        <color theme="1"/>
        <rFont val="Times New Roman"/>
        <family val="1"/>
      </rPr>
      <t>6</t>
    </r>
  </si>
  <si>
    <r>
      <t>I</t>
    </r>
    <r>
      <rPr>
        <vertAlign val="subscript"/>
        <sz val="11"/>
        <color theme="1"/>
        <rFont val="Times New Roman"/>
        <family val="1"/>
      </rPr>
      <t>7</t>
    </r>
  </si>
  <si>
    <r>
      <t>L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*t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/12+A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*z0²</t>
    </r>
  </si>
  <si>
    <r>
      <t>L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*t*h²/12+A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*z0²</t>
    </r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</si>
  <si>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</si>
  <si>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t>z(mm)</t>
  </si>
  <si>
    <t>z0(mm)</t>
  </si>
  <si>
    <r>
      <t>A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(mm²)</t>
    </r>
  </si>
  <si>
    <r>
      <t>S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</si>
  <si>
    <r>
      <t>I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)</t>
    </r>
  </si>
  <si>
    <r>
      <t>σ</t>
    </r>
    <r>
      <rPr>
        <vertAlign val="subscript"/>
        <sz val="11"/>
        <color theme="1"/>
        <rFont val="Times New Roman"/>
        <family val="1"/>
      </rPr>
      <t>cr,s</t>
    </r>
    <r>
      <rPr>
        <sz val="11"/>
        <color theme="1"/>
        <rFont val="Times New Roman"/>
        <family val="1"/>
      </rPr>
      <t>(N/mm²)</t>
    </r>
  </si>
  <si>
    <r>
      <t>t</t>
    </r>
    <r>
      <rPr>
        <vertAlign val="subscript"/>
        <sz val="11"/>
        <color theme="1"/>
        <rFont val="Times New Roman"/>
        <family val="1"/>
      </rPr>
      <t>eff</t>
    </r>
  </si>
  <si>
    <t>lz</t>
  </si>
  <si>
    <t>ly</t>
  </si>
  <si>
    <r>
      <t>l</t>
    </r>
    <r>
      <rPr>
        <vertAlign val="subscript"/>
        <sz val="11"/>
        <color theme="1"/>
        <rFont val="Times New Roman"/>
        <family val="1"/>
      </rPr>
      <t>i</t>
    </r>
  </si>
  <si>
    <t>w</t>
  </si>
  <si>
    <r>
      <t>t</t>
    </r>
    <r>
      <rPr>
        <vertAlign val="subscript"/>
        <sz val="11"/>
        <color theme="1"/>
        <rFont val="Times New Roman"/>
        <family val="1"/>
      </rPr>
      <t>réd</t>
    </r>
  </si>
  <si>
    <t>sw</t>
  </si>
  <si>
    <t>bpt</t>
  </si>
  <si>
    <t>bpb</t>
  </si>
  <si>
    <t>bflt</t>
  </si>
  <si>
    <t>bflb</t>
  </si>
  <si>
    <t>sflw</t>
  </si>
  <si>
    <t>SCHEMA</t>
  </si>
  <si>
    <r>
      <t>g</t>
    </r>
    <r>
      <rPr>
        <sz val="11"/>
        <color theme="1"/>
        <rFont val="Calibri"/>
        <family val="2"/>
      </rPr>
      <t>θ1</t>
    </r>
  </si>
  <si>
    <t>fθ1</t>
  </si>
  <si>
    <t>lcθ1</t>
  </si>
  <si>
    <t>Ccθ1</t>
  </si>
  <si>
    <t>ε</t>
  </si>
  <si>
    <r>
      <t>λ</t>
    </r>
    <r>
      <rPr>
        <vertAlign val="subscript"/>
        <sz val="11"/>
        <color theme="1"/>
        <rFont val="Times New Roman"/>
        <family val="1"/>
      </rPr>
      <t>pred</t>
    </r>
  </si>
  <si>
    <r>
      <t>σ</t>
    </r>
    <r>
      <rPr>
        <vertAlign val="subscript"/>
        <sz val="11"/>
        <color rgb="FFFF0000"/>
        <rFont val="Times New Roman"/>
        <family val="1"/>
      </rPr>
      <t>com</t>
    </r>
  </si>
  <si>
    <r>
      <rPr>
        <sz val="11"/>
        <rFont val="Calibri"/>
        <family val="2"/>
      </rPr>
      <t>γ</t>
    </r>
    <r>
      <rPr>
        <vertAlign val="subscript"/>
        <sz val="11"/>
        <rFont val="Times New Roman"/>
        <family val="1"/>
      </rPr>
      <t>M0</t>
    </r>
  </si>
  <si>
    <r>
      <rPr>
        <sz val="11"/>
        <color theme="1"/>
        <rFont val="Times New Roman"/>
        <family val="1"/>
      </rPr>
      <t>ψ</t>
    </r>
    <r>
      <rPr>
        <sz val="11"/>
        <color theme="1"/>
        <rFont val="Calibri"/>
        <family val="2"/>
      </rPr>
      <t>=</t>
    </r>
    <r>
      <rPr>
        <sz val="11"/>
        <color theme="1"/>
        <rFont val="Times New Roman"/>
        <family val="1"/>
      </rPr>
      <t>σ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/σ</t>
    </r>
    <r>
      <rPr>
        <vertAlign val="subscript"/>
        <sz val="11"/>
        <color theme="1"/>
        <rFont val="Times New Roman"/>
        <family val="1"/>
      </rPr>
      <t>1</t>
    </r>
  </si>
  <si>
    <t>1/2 (1eff)</t>
  </si>
  <si>
    <t>1/2 (7eff)</t>
  </si>
  <si>
    <t>ec</t>
  </si>
  <si>
    <r>
      <t>s</t>
    </r>
    <r>
      <rPr>
        <strike/>
        <vertAlign val="subscript"/>
        <sz val="11"/>
        <color theme="1"/>
        <rFont val="Times New Roman"/>
        <family val="1"/>
      </rPr>
      <t>eff,2</t>
    </r>
  </si>
  <si>
    <r>
      <t>s</t>
    </r>
    <r>
      <rPr>
        <strike/>
        <vertAlign val="subscript"/>
        <sz val="11"/>
        <color theme="1"/>
        <rFont val="Times New Roman"/>
        <family val="1"/>
      </rPr>
      <t>eff,3</t>
    </r>
  </si>
  <si>
    <r>
      <t>s</t>
    </r>
    <r>
      <rPr>
        <strike/>
        <vertAlign val="subscript"/>
        <sz val="11"/>
        <color theme="1"/>
        <rFont val="Times New Roman"/>
        <family val="1"/>
      </rPr>
      <t>eff,1</t>
    </r>
  </si>
  <si>
    <r>
      <t>s</t>
    </r>
    <r>
      <rPr>
        <strike/>
        <vertAlign val="subscript"/>
        <sz val="11"/>
        <color theme="1"/>
        <rFont val="Times New Roman"/>
        <family val="1"/>
      </rPr>
      <t>eff,0</t>
    </r>
  </si>
  <si>
    <t>1/2 onde</t>
  </si>
  <si>
    <t>entre axe(mm)</t>
  </si>
  <si>
    <t>onde</t>
  </si>
  <si>
    <t>mm3/mm</t>
  </si>
  <si>
    <t>Nmm/mm</t>
  </si>
  <si>
    <t>kNm/m</t>
  </si>
  <si>
    <t>hw</t>
  </si>
  <si>
    <r>
      <t>L</t>
    </r>
    <r>
      <rPr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Times New Roman"/>
        <family val="1"/>
      </rPr>
      <t>*t*h²/12+A</t>
    </r>
    <r>
      <rPr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Times New Roman"/>
        <family val="1"/>
      </rPr>
      <t>*z0²</t>
    </r>
  </si>
  <si>
    <r>
      <t>L</t>
    </r>
    <r>
      <rPr>
        <vertAlign val="subscript"/>
        <sz val="11"/>
        <color theme="1"/>
        <rFont val="Times New Roman"/>
        <family val="1"/>
      </rPr>
      <t>7</t>
    </r>
    <r>
      <rPr>
        <sz val="11"/>
        <color theme="1"/>
        <rFont val="Times New Roman"/>
        <family val="1"/>
      </rPr>
      <t>*t*h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/12+A</t>
    </r>
    <r>
      <rPr>
        <vertAlign val="subscript"/>
        <sz val="11"/>
        <color theme="1"/>
        <rFont val="Times New Roman"/>
        <family val="1"/>
      </rPr>
      <t>7</t>
    </r>
    <r>
      <rPr>
        <sz val="11"/>
        <color theme="1"/>
        <rFont val="Times New Roman"/>
        <family val="1"/>
      </rPr>
      <t>*z0²</t>
    </r>
  </si>
  <si>
    <t>partie plane</t>
  </si>
  <si>
    <t>θ1</t>
  </si>
  <si>
    <t>2θ3</t>
  </si>
  <si>
    <r>
      <t>k</t>
    </r>
    <r>
      <rPr>
        <vertAlign val="subscript"/>
        <sz val="11"/>
        <color theme="1"/>
        <rFont val="Times New Roman"/>
        <family val="1"/>
      </rPr>
      <t>w0</t>
    </r>
  </si>
  <si>
    <t>λ&lt;0,65</t>
  </si>
  <si>
    <t>λ&gt;1,38</t>
  </si>
  <si>
    <t>parasteel</t>
  </si>
  <si>
    <r>
      <t>b</t>
    </r>
    <r>
      <rPr>
        <vertAlign val="subscript"/>
        <sz val="11"/>
        <color theme="1"/>
        <rFont val="Times New Roman"/>
        <family val="1"/>
      </rPr>
      <t>d</t>
    </r>
  </si>
  <si>
    <r>
      <t>s</t>
    </r>
    <r>
      <rPr>
        <vertAlign val="subscript"/>
        <sz val="11"/>
        <color theme="1"/>
        <rFont val="Times New Roman"/>
        <family val="1"/>
      </rPr>
      <t>eff,n</t>
    </r>
  </si>
  <si>
    <r>
      <t>s</t>
    </r>
    <r>
      <rPr>
        <vertAlign val="subscript"/>
        <sz val="11"/>
        <color theme="1"/>
        <rFont val="Times New Roman"/>
        <family val="1"/>
      </rPr>
      <t>eff,1</t>
    </r>
    <r>
      <rPr>
        <sz val="11"/>
        <color theme="1"/>
        <rFont val="Times New Roman"/>
        <family val="1"/>
      </rPr>
      <t xml:space="preserve"> + s</t>
    </r>
    <r>
      <rPr>
        <vertAlign val="subscript"/>
        <sz val="11"/>
        <color theme="1"/>
        <rFont val="Times New Roman"/>
        <family val="1"/>
      </rPr>
      <t>eff,n</t>
    </r>
  </si>
  <si>
    <t>&gt;sn</t>
  </si>
  <si>
    <t>pour 1/2 onde</t>
  </si>
  <si>
    <r>
      <t>l</t>
    </r>
    <r>
      <rPr>
        <vertAlign val="subscript"/>
        <sz val="11"/>
        <rFont val="Times New Roman"/>
        <family val="1"/>
      </rPr>
      <t>i</t>
    </r>
  </si>
  <si>
    <t>Pour PCB80 ame complétement efficace</t>
  </si>
  <si>
    <t>es01</t>
  </si>
  <si>
    <t>θ2</t>
  </si>
  <si>
    <t>lcθ2</t>
  </si>
  <si>
    <t>Ccθ2</t>
  </si>
  <si>
    <t>trou du au bossage</t>
  </si>
  <si>
    <t>mm^4/m</t>
  </si>
  <si>
    <t>mm4/m</t>
  </si>
  <si>
    <t>cm4/m</t>
  </si>
  <si>
    <t>partie intérieure</t>
  </si>
  <si>
    <t>be1</t>
  </si>
  <si>
    <t>be2</t>
  </si>
  <si>
    <t>fyb/γM0/σcom</t>
  </si>
  <si>
    <t>Dovetail depth</t>
  </si>
  <si>
    <t>coeff ro</t>
  </si>
  <si>
    <t>hauteur boss</t>
  </si>
  <si>
    <t>à</t>
  </si>
  <si>
    <t>web embossments</t>
  </si>
  <si>
    <t>dn</t>
  </si>
  <si>
    <t>z up</t>
  </si>
  <si>
    <t>embossment</t>
  </si>
  <si>
    <t>FILL RED CELLS</t>
  </si>
  <si>
    <t>R1 (mm)</t>
  </si>
  <si>
    <r>
      <t>R2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</si>
  <si>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</si>
  <si>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Pitch (mm)</t>
  </si>
  <si>
    <t>b/t=</t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</si>
  <si>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=</t>
    </r>
  </si>
  <si>
    <t>h/t=</t>
  </si>
  <si>
    <t>500sin(θ2)=</t>
  </si>
  <si>
    <t>r &lt;</t>
  </si>
  <si>
    <r>
      <t xml:space="preserve">0,04 </t>
    </r>
    <r>
      <rPr>
        <i/>
        <sz val="12"/>
        <color theme="1"/>
        <rFont val="Times New Roman"/>
      </rPr>
      <t>t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E</t>
    </r>
    <r>
      <rPr>
        <sz val="12"/>
        <color theme="1"/>
        <rFont val="Times New Roman"/>
      </rPr>
      <t xml:space="preserve"> / </t>
    </r>
    <r>
      <rPr>
        <i/>
        <sz val="12"/>
        <color theme="1"/>
        <rFont val="Times New Roman"/>
      </rPr>
      <t>f</t>
    </r>
    <r>
      <rPr>
        <vertAlign val="subscript"/>
        <sz val="12"/>
        <color theme="1"/>
        <rFont val="Times New Roman"/>
      </rPr>
      <t xml:space="preserve">y </t>
    </r>
  </si>
  <si>
    <r>
      <t>t</t>
    </r>
    <r>
      <rPr>
        <vertAlign val="subscript"/>
        <sz val="11"/>
        <color theme="1"/>
        <rFont val="Times New Roman"/>
        <family val="1"/>
      </rPr>
      <t>nom</t>
    </r>
    <r>
      <rPr>
        <sz val="11"/>
        <color theme="1"/>
        <rFont val="Times New Roman"/>
        <family val="1"/>
      </rPr>
      <t xml:space="preserve"> (mm)</t>
    </r>
  </si>
  <si>
    <t>t (mm)</t>
  </si>
  <si>
    <t>tnom</t>
  </si>
  <si>
    <t>1) DATA</t>
  </si>
  <si>
    <t>2) Checking of geometrical proportions</t>
  </si>
  <si>
    <r>
      <t>M</t>
    </r>
    <r>
      <rPr>
        <b/>
        <vertAlign val="subscript"/>
        <sz val="14"/>
        <color theme="1"/>
        <rFont val="Calibri"/>
        <family val="2"/>
        <scheme val="minor"/>
      </rPr>
      <t>span</t>
    </r>
    <r>
      <rPr>
        <b/>
        <sz val="14"/>
        <color theme="1"/>
        <rFont val="Calibri"/>
        <family val="2"/>
        <scheme val="minor"/>
      </rPr>
      <t>=</t>
    </r>
  </si>
  <si>
    <t>3) RESULTS</t>
  </si>
  <si>
    <t>Pour C80 ame complétement efficace</t>
  </si>
  <si>
    <t>R2inf</t>
  </si>
  <si>
    <t>R2sup</t>
  </si>
  <si>
    <t>R1</t>
  </si>
  <si>
    <r>
      <t>g</t>
    </r>
    <r>
      <rPr>
        <sz val="11"/>
        <color theme="1"/>
        <rFont val="Calibri"/>
        <family val="2"/>
      </rPr>
      <t>θ2inf</t>
    </r>
  </si>
  <si>
    <t>fθ2inf</t>
  </si>
  <si>
    <r>
      <t>g</t>
    </r>
    <r>
      <rPr>
        <sz val="11"/>
        <color theme="1"/>
        <rFont val="Calibri"/>
        <family val="2"/>
      </rPr>
      <t>θ2sup</t>
    </r>
  </si>
  <si>
    <t>fθ2sup</t>
  </si>
  <si>
    <t>lcθ2sup</t>
  </si>
  <si>
    <t>Ccθ2sup</t>
  </si>
  <si>
    <r>
      <t>θ</t>
    </r>
    <r>
      <rPr>
        <vertAlign val="subscript"/>
        <sz val="11"/>
        <color theme="1"/>
        <rFont val="Times New Roman"/>
        <family val="1"/>
      </rPr>
      <t>2</t>
    </r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</si>
  <si>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</si>
  <si>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r>
      <t>Corner 2</t>
    </r>
    <r>
      <rPr>
        <vertAlign val="subscript"/>
        <sz val="11"/>
        <color theme="1"/>
        <rFont val="Times New Roman"/>
        <family val="1"/>
      </rPr>
      <t>sup</t>
    </r>
  </si>
  <si>
    <r>
      <t>Corner 2</t>
    </r>
    <r>
      <rPr>
        <vertAlign val="subscript"/>
        <sz val="11"/>
        <color theme="1"/>
        <rFont val="Times New Roman"/>
        <family val="1"/>
      </rPr>
      <t>inf</t>
    </r>
  </si>
  <si>
    <t>TOTAL</t>
  </si>
  <si>
    <r>
      <t>Corner 1</t>
    </r>
    <r>
      <rPr>
        <vertAlign val="subscript"/>
        <sz val="11"/>
        <color theme="1"/>
        <rFont val="Times New Roman"/>
        <family val="1"/>
      </rPr>
      <t>sup</t>
    </r>
  </si>
  <si>
    <r>
      <t>Corner 1</t>
    </r>
    <r>
      <rPr>
        <vertAlign val="subscript"/>
        <sz val="11"/>
        <color theme="1"/>
        <rFont val="Times New Roman"/>
        <family val="1"/>
      </rPr>
      <t>inf</t>
    </r>
  </si>
  <si>
    <r>
      <t>γ</t>
    </r>
    <r>
      <rPr>
        <vertAlign val="subscript"/>
        <sz val="11"/>
        <color theme="1"/>
        <rFont val="Times New Roman"/>
        <family val="1"/>
      </rPr>
      <t>M0</t>
    </r>
  </si>
  <si>
    <r>
      <t>h</t>
    </r>
    <r>
      <rPr>
        <vertAlign val="subscript"/>
        <sz val="11"/>
        <color theme="1"/>
        <rFont val="Times New Roman"/>
        <family val="1"/>
      </rPr>
      <t xml:space="preserve">w </t>
    </r>
    <r>
      <rPr>
        <sz val="11"/>
        <color theme="1"/>
        <rFont val="Times New Roman"/>
        <family val="1"/>
      </rPr>
      <t>(mm)</t>
    </r>
  </si>
  <si>
    <t>b=</t>
  </si>
  <si>
    <r>
      <t>d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 xml:space="preserve"> (mm)</t>
    </r>
  </si>
  <si>
    <r>
      <t>d</t>
    </r>
    <r>
      <rPr>
        <vertAlign val="subscript"/>
        <sz val="11"/>
        <color theme="1"/>
        <rFont val="Times New Roman"/>
        <family val="1"/>
      </rPr>
      <t>s</t>
    </r>
    <r>
      <rPr>
        <sz val="11"/>
        <color theme="1"/>
        <rFont val="Times New Roman"/>
        <family val="1"/>
      </rPr>
      <t xml:space="preserve"> (mm)</t>
    </r>
  </si>
  <si>
    <r>
      <t>θ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(rad)</t>
    </r>
  </si>
  <si>
    <r>
      <t>θ</t>
    </r>
    <r>
      <rPr>
        <vertAlign val="subscript"/>
        <sz val="11"/>
        <rFont val="Times New Roman"/>
        <family val="1"/>
      </rPr>
      <t xml:space="preserve">1 </t>
    </r>
    <r>
      <rPr>
        <sz val="11"/>
        <rFont val="Times New Roman"/>
        <family val="1"/>
      </rPr>
      <t>(rad)</t>
    </r>
  </si>
  <si>
    <r>
      <t>b</t>
    </r>
    <r>
      <rPr>
        <vertAlign val="subscript"/>
        <sz val="11"/>
        <rFont val="Times New Roman"/>
        <family val="1"/>
      </rPr>
      <t xml:space="preserve">pi </t>
    </r>
    <r>
      <rPr>
        <sz val="11"/>
        <rFont val="Times New Roman"/>
        <family val="1"/>
      </rPr>
      <t>(mm)</t>
    </r>
  </si>
  <si>
    <t>2nd step</t>
  </si>
  <si>
    <t>3rd step</t>
  </si>
  <si>
    <t>Upper flange</t>
  </si>
  <si>
    <r>
      <t>s</t>
    </r>
    <r>
      <rPr>
        <vertAlign val="subscript"/>
        <sz val="12"/>
        <color theme="1"/>
        <rFont val="Calibri"/>
        <family val="2"/>
        <scheme val="minor"/>
      </rPr>
      <t xml:space="preserve"> com</t>
    </r>
    <r>
      <rPr>
        <sz val="12"/>
        <color theme="1"/>
        <rFont val="Calibri"/>
        <family val="2"/>
        <charset val="204"/>
        <scheme val="minor"/>
      </rPr>
      <t xml:space="preserve"> </t>
    </r>
  </si>
  <si>
    <r>
      <t xml:space="preserve">0,5 b </t>
    </r>
    <r>
      <rPr>
        <vertAlign val="subscript"/>
        <sz val="10"/>
        <color rgb="FF000000"/>
        <rFont val="Verdana"/>
        <family val="2"/>
      </rPr>
      <t xml:space="preserve">1,eff </t>
    </r>
  </si>
  <si>
    <t>Upper flange stiffener</t>
  </si>
  <si>
    <r>
      <t>s</t>
    </r>
    <r>
      <rPr>
        <vertAlign val="subscript"/>
        <sz val="11"/>
        <color theme="1"/>
        <rFont val="Calibri"/>
        <family val="2"/>
        <scheme val="minor"/>
      </rPr>
      <t>cr,s</t>
    </r>
    <r>
      <rPr>
        <sz val="11"/>
        <color theme="1"/>
        <rFont val="Calibri"/>
        <family val="2"/>
        <scheme val="minor"/>
      </rPr>
      <t xml:space="preserve">  </t>
    </r>
  </si>
  <si>
    <r>
      <t>c</t>
    </r>
    <r>
      <rPr>
        <i/>
        <sz val="11"/>
        <color theme="1"/>
        <rFont val="Calibri"/>
        <scheme val="minor"/>
      </rPr>
      <t xml:space="preserve"> </t>
    </r>
    <r>
      <rPr>
        <vertAlign val="subscript"/>
        <sz val="11"/>
        <color theme="1"/>
        <rFont val="Calibri"/>
        <family val="2"/>
        <scheme val="minor"/>
      </rPr>
      <t xml:space="preserve">d </t>
    </r>
  </si>
  <si>
    <r>
      <t>t</t>
    </r>
    <r>
      <rPr>
        <vertAlign val="subscript"/>
        <sz val="10"/>
        <color theme="1"/>
        <rFont val="Verdana"/>
        <family val="2"/>
      </rPr>
      <t>red</t>
    </r>
  </si>
  <si>
    <t>Web</t>
  </si>
  <si>
    <r>
      <t>e</t>
    </r>
    <r>
      <rPr>
        <vertAlign val="subscript"/>
        <sz val="10"/>
        <color rgb="FF444444"/>
        <rFont val="Verdana"/>
        <family val="2"/>
      </rPr>
      <t>c</t>
    </r>
  </si>
  <si>
    <r>
      <t>s</t>
    </r>
    <r>
      <rPr>
        <vertAlign val="subscript"/>
        <sz val="10"/>
        <color rgb="FF444444"/>
        <rFont val="Verdana"/>
        <family val="2"/>
      </rPr>
      <t>n</t>
    </r>
  </si>
  <si>
    <r>
      <t>s</t>
    </r>
    <r>
      <rPr>
        <vertAlign val="subscript"/>
        <sz val="10"/>
        <color theme="1"/>
        <rFont val="Verdana"/>
        <family val="2"/>
      </rPr>
      <t>eff,0</t>
    </r>
    <r>
      <rPr>
        <sz val="10"/>
        <color theme="1"/>
        <rFont val="Verdana"/>
        <family val="2"/>
      </rPr>
      <t xml:space="preserve"> </t>
    </r>
  </si>
  <si>
    <r>
      <t>s</t>
    </r>
    <r>
      <rPr>
        <vertAlign val="subscript"/>
        <sz val="10"/>
        <color theme="1"/>
        <rFont val="Verdana"/>
        <family val="2"/>
      </rPr>
      <t xml:space="preserve">eff,1 </t>
    </r>
  </si>
  <si>
    <r>
      <t>s</t>
    </r>
    <r>
      <rPr>
        <vertAlign val="subscript"/>
        <sz val="10"/>
        <color theme="1"/>
        <rFont val="Verdana"/>
        <family val="2"/>
      </rPr>
      <t>eff,n</t>
    </r>
  </si>
  <si>
    <r>
      <t>s</t>
    </r>
    <r>
      <rPr>
        <vertAlign val="subscript"/>
        <sz val="10"/>
        <color theme="1"/>
        <rFont val="Verdana"/>
        <family val="2"/>
      </rPr>
      <t xml:space="preserve">eff,1 + Seff,n </t>
    </r>
  </si>
  <si>
    <t>entire web is effective</t>
  </si>
  <si>
    <t>0,4sn</t>
  </si>
  <si>
    <t>0,6sn</t>
  </si>
  <si>
    <t>Total effective Area</t>
  </si>
  <si>
    <r>
      <t xml:space="preserve">A </t>
    </r>
    <r>
      <rPr>
        <vertAlign val="subscript"/>
        <sz val="10"/>
        <color rgb="FF444444"/>
        <rFont val="Verdana"/>
        <family val="2"/>
      </rPr>
      <t>eff</t>
    </r>
    <r>
      <rPr>
        <sz val="10"/>
        <color rgb="FF444444"/>
        <rFont val="Verdana"/>
        <family val="2"/>
      </rPr>
      <t xml:space="preserve"> </t>
    </r>
  </si>
  <si>
    <t>Position of neutral axis</t>
  </si>
  <si>
    <r>
      <t>z</t>
    </r>
    <r>
      <rPr>
        <vertAlign val="subscript"/>
        <sz val="10"/>
        <color rgb="FF000000"/>
        <rFont val="Verdana"/>
        <family val="2"/>
      </rPr>
      <t>c</t>
    </r>
  </si>
  <si>
    <t xml:space="preserve">ρ </t>
  </si>
  <si>
    <t>4th step</t>
  </si>
  <si>
    <t xml:space="preserve">plane part </t>
  </si>
  <si>
    <r>
      <t>t</t>
    </r>
    <r>
      <rPr>
        <vertAlign val="subscript"/>
        <sz val="11"/>
        <color theme="1"/>
        <rFont val="Times New Roman"/>
        <family val="1"/>
      </rPr>
      <t xml:space="preserve">eff </t>
    </r>
    <r>
      <rPr>
        <sz val="11"/>
        <color theme="1"/>
        <rFont val="Times New Roman"/>
        <family val="1"/>
      </rPr>
      <t>(mm)</t>
    </r>
  </si>
  <si>
    <t xml:space="preserve">The length of the elements are measured from the midpoints of the adjacent corner elements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</si>
</sst>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0.00000"/>
  </numFmts>
  <fonts count="5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vertAlign val="subscript"/>
      <sz val="11"/>
      <color rgb="FFFF0000"/>
      <name val="Times New Roman"/>
      <family val="1"/>
    </font>
    <font>
      <sz val="11"/>
      <name val="Calibri"/>
      <family val="2"/>
    </font>
    <font>
      <vertAlign val="subscript"/>
      <sz val="11"/>
      <name val="Times New Roman"/>
      <family val="1"/>
    </font>
    <font>
      <strike/>
      <sz val="11"/>
      <color theme="1"/>
      <name val="Times New Roman"/>
      <family val="1"/>
    </font>
    <font>
      <strike/>
      <vertAlign val="sub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trike/>
      <sz val="11"/>
      <color theme="1"/>
      <name val="Times New Roman"/>
      <family val="1"/>
    </font>
    <font>
      <strike/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scheme val="minor"/>
    </font>
    <font>
      <sz val="11"/>
      <color theme="0" tint="-0.34998626667073579"/>
      <name val="Times New Roman"/>
      <family val="1"/>
    </font>
    <font>
      <sz val="11"/>
      <color theme="0" tint="-0.34998626667073579"/>
      <name val="Calibri"/>
      <family val="2"/>
      <scheme val="minor"/>
    </font>
    <font>
      <i/>
      <sz val="12"/>
      <color theme="1"/>
      <name val="Times New Roman"/>
    </font>
    <font>
      <sz val="12"/>
      <color theme="1"/>
      <name val="Times New Roman"/>
    </font>
    <font>
      <vertAlign val="subscript"/>
      <sz val="12"/>
      <color theme="1"/>
      <name val="Times New Roman"/>
    </font>
    <font>
      <b/>
      <sz val="16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i/>
      <sz val="12"/>
      <color theme="1"/>
      <name val="Symbol"/>
      <family val="1"/>
      <charset val="2"/>
    </font>
    <font>
      <vertAlign val="subscript"/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Verdana"/>
      <family val="2"/>
    </font>
    <font>
      <vertAlign val="subscript"/>
      <sz val="10"/>
      <color rgb="FF000000"/>
      <name val="Verdana"/>
      <family val="2"/>
    </font>
    <font>
      <i/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vertAlign val="subscript"/>
      <sz val="10"/>
      <color theme="1"/>
      <name val="Verdana"/>
      <family val="2"/>
    </font>
    <font>
      <sz val="10"/>
      <color rgb="FF444444"/>
      <name val="Verdana"/>
      <family val="2"/>
    </font>
    <font>
      <vertAlign val="subscript"/>
      <sz val="10"/>
      <color rgb="FF444444"/>
      <name val="Verdana"/>
      <family val="2"/>
    </font>
    <font>
      <i/>
      <sz val="10"/>
      <color theme="1"/>
      <name val="Verdana"/>
      <family val="2"/>
    </font>
    <font>
      <sz val="12"/>
      <color theme="0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32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7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1" xfId="0" applyBorder="1"/>
    <xf numFmtId="0" fontId="2" fillId="0" borderId="1" xfId="0" applyFont="1" applyBorder="1"/>
    <xf numFmtId="2" fontId="0" fillId="0" borderId="1" xfId="0" applyNumberFormat="1" applyBorder="1"/>
    <xf numFmtId="0" fontId="0" fillId="0" borderId="0" xfId="0" applyBorder="1" applyAlignment="1">
      <alignment horizontal="center"/>
    </xf>
    <xf numFmtId="2" fontId="0" fillId="0" borderId="0" xfId="0" applyNumberFormat="1"/>
    <xf numFmtId="2" fontId="4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2" fontId="2" fillId="0" borderId="0" xfId="0" applyNumberFormat="1" applyFont="1"/>
    <xf numFmtId="0" fontId="2" fillId="0" borderId="1" xfId="0" applyFont="1" applyFill="1" applyBorder="1"/>
    <xf numFmtId="164" fontId="2" fillId="0" borderId="1" xfId="0" applyNumberFormat="1" applyFont="1" applyBorder="1"/>
    <xf numFmtId="2" fontId="2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0" borderId="3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8" fillId="0" borderId="0" xfId="0" quotePrefix="1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2" fontId="9" fillId="0" borderId="0" xfId="0" applyNumberFormat="1" applyFont="1" applyBorder="1"/>
    <xf numFmtId="165" fontId="9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2" fontId="5" fillId="0" borderId="1" xfId="0" applyNumberFormat="1" applyFont="1" applyFill="1" applyBorder="1"/>
    <xf numFmtId="0" fontId="2" fillId="0" borderId="0" xfId="0" applyFont="1" applyFill="1"/>
    <xf numFmtId="0" fontId="10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0" fontId="15" fillId="0" borderId="0" xfId="0" applyFont="1"/>
    <xf numFmtId="0" fontId="11" fillId="0" borderId="0" xfId="0" applyFont="1"/>
    <xf numFmtId="2" fontId="8" fillId="0" borderId="0" xfId="0" quotePrefix="1" applyNumberFormat="1" applyFont="1"/>
    <xf numFmtId="0" fontId="10" fillId="0" borderId="0" xfId="0" applyFont="1" applyBorder="1"/>
    <xf numFmtId="164" fontId="0" fillId="0" borderId="1" xfId="0" applyNumberFormat="1" applyBorder="1"/>
    <xf numFmtId="2" fontId="2" fillId="3" borderId="1" xfId="0" applyNumberFormat="1" applyFont="1" applyFill="1" applyBorder="1"/>
    <xf numFmtId="0" fontId="2" fillId="3" borderId="0" xfId="0" applyFont="1" applyFill="1"/>
    <xf numFmtId="2" fontId="0" fillId="3" borderId="1" xfId="0" applyNumberFormat="1" applyFill="1" applyBorder="1"/>
    <xf numFmtId="2" fontId="9" fillId="0" borderId="1" xfId="0" applyNumberFormat="1" applyFont="1" applyBorder="1"/>
    <xf numFmtId="2" fontId="9" fillId="0" borderId="1" xfId="0" applyNumberFormat="1" applyFont="1" applyFill="1" applyBorder="1"/>
    <xf numFmtId="2" fontId="5" fillId="0" borderId="1" xfId="0" applyNumberFormat="1" applyFont="1" applyBorder="1"/>
    <xf numFmtId="2" fontId="17" fillId="0" borderId="0" xfId="0" applyNumberFormat="1" applyFont="1"/>
    <xf numFmtId="2" fontId="2" fillId="5" borderId="1" xfId="0" applyNumberFormat="1" applyFont="1" applyFill="1" applyBorder="1"/>
    <xf numFmtId="2" fontId="2" fillId="4" borderId="1" xfId="0" applyNumberFormat="1" applyFont="1" applyFill="1" applyBorder="1"/>
    <xf numFmtId="0" fontId="2" fillId="5" borderId="1" xfId="0" applyFont="1" applyFill="1" applyBorder="1"/>
    <xf numFmtId="164" fontId="2" fillId="6" borderId="1" xfId="0" applyNumberFormat="1" applyFont="1" applyFill="1" applyBorder="1" applyAlignment="1">
      <alignment horizontal="center"/>
    </xf>
    <xf numFmtId="0" fontId="2" fillId="6" borderId="0" xfId="0" applyFont="1" applyFill="1"/>
    <xf numFmtId="0" fontId="18" fillId="6" borderId="0" xfId="0" applyFont="1" applyFill="1"/>
    <xf numFmtId="0" fontId="15" fillId="6" borderId="0" xfId="0" applyFont="1" applyFill="1"/>
    <xf numFmtId="0" fontId="15" fillId="6" borderId="1" xfId="0" applyFont="1" applyFill="1" applyBorder="1"/>
    <xf numFmtId="2" fontId="15" fillId="6" borderId="1" xfId="0" applyNumberFormat="1" applyFont="1" applyFill="1" applyBorder="1"/>
    <xf numFmtId="0" fontId="0" fillId="2" borderId="0" xfId="0" applyFill="1"/>
    <xf numFmtId="0" fontId="19" fillId="0" borderId="0" xfId="0" applyFont="1" applyFill="1" applyBorder="1"/>
    <xf numFmtId="165" fontId="19" fillId="0" borderId="0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165" fontId="19" fillId="0" borderId="0" xfId="0" applyNumberFormat="1" applyFont="1" applyBorder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2" fontId="0" fillId="0" borderId="1" xfId="0" applyNumberFormat="1" applyFill="1" applyBorder="1"/>
    <xf numFmtId="164" fontId="9" fillId="0" borderId="1" xfId="0" applyNumberFormat="1" applyFont="1" applyBorder="1"/>
    <xf numFmtId="2" fontId="4" fillId="0" borderId="9" xfId="0" applyNumberFormat="1" applyFont="1" applyBorder="1" applyAlignment="1"/>
    <xf numFmtId="2" fontId="0" fillId="7" borderId="1" xfId="0" applyNumberFormat="1" applyFill="1" applyBorder="1"/>
    <xf numFmtId="2" fontId="2" fillId="7" borderId="1" xfId="0" applyNumberFormat="1" applyFont="1" applyFill="1" applyBorder="1"/>
    <xf numFmtId="2" fontId="24" fillId="0" borderId="0" xfId="0" applyNumberFormat="1" applyFont="1"/>
    <xf numFmtId="1" fontId="4" fillId="0" borderId="0" xfId="0" applyNumberFormat="1" applyFont="1"/>
    <xf numFmtId="1" fontId="2" fillId="0" borderId="0" xfId="0" applyNumberFormat="1" applyFont="1"/>
    <xf numFmtId="164" fontId="2" fillId="8" borderId="1" xfId="0" applyNumberFormat="1" applyFont="1" applyFill="1" applyBorder="1" applyAlignment="1">
      <alignment horizontal="center"/>
    </xf>
    <xf numFmtId="1" fontId="2" fillId="8" borderId="0" xfId="0" applyNumberFormat="1" applyFont="1" applyFill="1"/>
    <xf numFmtId="0" fontId="25" fillId="0" borderId="0" xfId="0" applyFont="1" applyFill="1" applyBorder="1"/>
    <xf numFmtId="0" fontId="25" fillId="0" borderId="6" xfId="0" applyFont="1" applyFill="1" applyBorder="1"/>
    <xf numFmtId="0" fontId="2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2" fontId="25" fillId="0" borderId="1" xfId="0" applyNumberFormat="1" applyFont="1" applyBorder="1"/>
    <xf numFmtId="0" fontId="25" fillId="0" borderId="0" xfId="0" applyFont="1"/>
    <xf numFmtId="0" fontId="26" fillId="0" borderId="0" xfId="0" applyFont="1"/>
    <xf numFmtId="2" fontId="26" fillId="0" borderId="1" xfId="0" applyNumberFormat="1" applyFont="1" applyBorder="1"/>
    <xf numFmtId="2" fontId="25" fillId="0" borderId="0" xfId="0" applyNumberFormat="1" applyFont="1"/>
    <xf numFmtId="0" fontId="26" fillId="0" borderId="1" xfId="0" applyFont="1" applyBorder="1"/>
    <xf numFmtId="0" fontId="5" fillId="0" borderId="1" xfId="0" applyFont="1" applyBorder="1"/>
    <xf numFmtId="164" fontId="4" fillId="0" borderId="9" xfId="0" applyNumberFormat="1" applyFont="1" applyBorder="1" applyAlignment="1"/>
    <xf numFmtId="0" fontId="2" fillId="0" borderId="5" xfId="0" applyFont="1" applyFill="1" applyBorder="1"/>
    <xf numFmtId="0" fontId="9" fillId="0" borderId="0" xfId="0" applyFont="1"/>
    <xf numFmtId="2" fontId="5" fillId="0" borderId="0" xfId="0" applyNumberFormat="1" applyFont="1"/>
    <xf numFmtId="0" fontId="2" fillId="2" borderId="8" xfId="0" applyFont="1" applyFill="1" applyBorder="1"/>
    <xf numFmtId="2" fontId="4" fillId="7" borderId="1" xfId="0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6" fillId="6" borderId="0" xfId="0" applyFont="1" applyFill="1"/>
    <xf numFmtId="164" fontId="2" fillId="7" borderId="1" xfId="0" applyNumberFormat="1" applyFont="1" applyFill="1" applyBorder="1" applyAlignment="1">
      <alignment horizontal="center"/>
    </xf>
    <xf numFmtId="0" fontId="0" fillId="4" borderId="0" xfId="0" applyFill="1"/>
    <xf numFmtId="2" fontId="2" fillId="2" borderId="1" xfId="0" applyNumberFormat="1" applyFont="1" applyFill="1" applyBorder="1" applyAlignment="1">
      <alignment horizontal="center"/>
    </xf>
    <xf numFmtId="0" fontId="2" fillId="4" borderId="8" xfId="0" applyFont="1" applyFill="1" applyBorder="1"/>
    <xf numFmtId="2" fontId="2" fillId="10" borderId="4" xfId="0" applyNumberFormat="1" applyFont="1" applyFill="1" applyBorder="1"/>
    <xf numFmtId="2" fontId="2" fillId="0" borderId="0" xfId="0" applyNumberFormat="1" applyFont="1" applyBorder="1"/>
    <xf numFmtId="0" fontId="27" fillId="0" borderId="0" xfId="0" applyFont="1"/>
    <xf numFmtId="164" fontId="2" fillId="9" borderId="1" xfId="0" applyNumberFormat="1" applyFont="1" applyFill="1" applyBorder="1" applyAlignment="1">
      <alignment horizontal="center"/>
    </xf>
    <xf numFmtId="2" fontId="2" fillId="10" borderId="1" xfId="0" applyNumberFormat="1" applyFont="1" applyFill="1" applyBorder="1" applyAlignment="1">
      <alignment horizontal="right"/>
    </xf>
    <xf numFmtId="0" fontId="0" fillId="0" borderId="0" xfId="0" applyFill="1"/>
    <xf numFmtId="2" fontId="2" fillId="12" borderId="1" xfId="0" applyNumberFormat="1" applyFont="1" applyFill="1" applyBorder="1" applyProtection="1">
      <protection locked="0"/>
    </xf>
    <xf numFmtId="2" fontId="34" fillId="12" borderId="1" xfId="0" applyNumberFormat="1" applyFont="1" applyFill="1" applyBorder="1" applyProtection="1">
      <protection locked="0"/>
    </xf>
    <xf numFmtId="2" fontId="5" fillId="12" borderId="1" xfId="0" applyNumberFormat="1" applyFont="1" applyFill="1" applyBorder="1" applyAlignment="1" applyProtection="1">
      <protection locked="0"/>
    </xf>
    <xf numFmtId="0" fontId="0" fillId="0" borderId="1" xfId="0" applyBorder="1" applyAlignment="1">
      <alignment horizontal="right"/>
    </xf>
    <xf numFmtId="2" fontId="0" fillId="4" borderId="0" xfId="0" applyNumberFormat="1" applyFill="1"/>
    <xf numFmtId="2" fontId="8" fillId="0" borderId="1" xfId="0" applyNumberFormat="1" applyFont="1" applyBorder="1"/>
    <xf numFmtId="2" fontId="2" fillId="0" borderId="1" xfId="0" applyNumberFormat="1" applyFont="1" applyBorder="1" applyAlignment="1">
      <alignment horizontal="right" vertical="center"/>
    </xf>
    <xf numFmtId="2" fontId="28" fillId="12" borderId="1" xfId="0" applyNumberFormat="1" applyFont="1" applyFill="1" applyBorder="1" applyProtection="1">
      <protection locked="0"/>
    </xf>
    <xf numFmtId="2" fontId="5" fillId="12" borderId="1" xfId="0" applyNumberFormat="1" applyFont="1" applyFill="1" applyBorder="1"/>
    <xf numFmtId="0" fontId="2" fillId="0" borderId="1" xfId="0" applyFont="1" applyBorder="1" applyAlignment="1">
      <alignment horizontal="right"/>
    </xf>
    <xf numFmtId="166" fontId="0" fillId="0" borderId="1" xfId="0" applyNumberFormat="1" applyFont="1" applyBorder="1" applyAlignment="1">
      <alignment horizontal="right"/>
    </xf>
    <xf numFmtId="166" fontId="0" fillId="0" borderId="1" xfId="0" applyNumberFormat="1" applyFill="1" applyBorder="1"/>
    <xf numFmtId="167" fontId="0" fillId="0" borderId="2" xfId="0" applyNumberFormat="1" applyFill="1" applyBorder="1"/>
    <xf numFmtId="166" fontId="9" fillId="0" borderId="1" xfId="0" applyNumberFormat="1" applyFont="1" applyBorder="1"/>
    <xf numFmtId="166" fontId="0" fillId="7" borderId="1" xfId="0" applyNumberFormat="1" applyFill="1" applyBorder="1"/>
    <xf numFmtId="2" fontId="0" fillId="0" borderId="1" xfId="0" applyNumberFormat="1" applyFont="1" applyBorder="1" applyAlignment="1">
      <alignment horizontal="right"/>
    </xf>
    <xf numFmtId="167" fontId="0" fillId="0" borderId="1" xfId="0" applyNumberFormat="1" applyFill="1" applyBorder="1"/>
    <xf numFmtId="166" fontId="17" fillId="0" borderId="1" xfId="0" applyNumberFormat="1" applyFont="1" applyBorder="1"/>
    <xf numFmtId="2" fontId="0" fillId="0" borderId="0" xfId="0" applyNumberFormat="1" applyFont="1" applyBorder="1" applyAlignment="1">
      <alignment horizontal="right"/>
    </xf>
    <xf numFmtId="0" fontId="15" fillId="0" borderId="0" xfId="0" applyFont="1" applyFill="1"/>
    <xf numFmtId="2" fontId="2" fillId="7" borderId="1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2" xfId="0" applyBorder="1"/>
    <xf numFmtId="0" fontId="40" fillId="0" borderId="3" xfId="0" applyFont="1" applyBorder="1"/>
    <xf numFmtId="1" fontId="0" fillId="0" borderId="1" xfId="0" applyNumberFormat="1" applyBorder="1"/>
    <xf numFmtId="0" fontId="0" fillId="0" borderId="5" xfId="0" applyBorder="1"/>
    <xf numFmtId="0" fontId="42" fillId="0" borderId="3" xfId="0" applyFont="1" applyBorder="1"/>
    <xf numFmtId="0" fontId="43" fillId="0" borderId="3" xfId="0" applyFont="1" applyBorder="1"/>
    <xf numFmtId="0" fontId="0" fillId="0" borderId="4" xfId="0" applyBorder="1"/>
    <xf numFmtId="166" fontId="0" fillId="0" borderId="1" xfId="0" applyNumberFormat="1" applyBorder="1"/>
    <xf numFmtId="0" fontId="45" fillId="0" borderId="10" xfId="0" applyFont="1" applyBorder="1"/>
    <xf numFmtId="0" fontId="47" fillId="0" borderId="3" xfId="0" applyFont="1" applyBorder="1"/>
    <xf numFmtId="0" fontId="49" fillId="0" borderId="3" xfId="0" applyFont="1" applyBorder="1"/>
    <xf numFmtId="0" fontId="51" fillId="0" borderId="3" xfId="0" applyFont="1" applyBorder="1"/>
    <xf numFmtId="0" fontId="45" fillId="0" borderId="1" xfId="0" applyFont="1" applyBorder="1"/>
    <xf numFmtId="0" fontId="30" fillId="11" borderId="0" xfId="0" applyFont="1" applyFill="1" applyProtection="1"/>
    <xf numFmtId="0" fontId="0" fillId="11" borderId="0" xfId="0" applyFill="1" applyProtection="1"/>
    <xf numFmtId="0" fontId="0" fillId="0" borderId="0" xfId="0" applyProtection="1"/>
    <xf numFmtId="0" fontId="31" fillId="0" borderId="0" xfId="0" applyFont="1" applyProtection="1"/>
    <xf numFmtId="0" fontId="32" fillId="0" borderId="0" xfId="0" applyFont="1" applyProtection="1"/>
    <xf numFmtId="0" fontId="33" fillId="0" borderId="0" xfId="0" applyFont="1" applyProtection="1"/>
    <xf numFmtId="0" fontId="2" fillId="0" borderId="1" xfId="0" applyFont="1" applyFill="1" applyBorder="1" applyProtection="1"/>
    <xf numFmtId="0" fontId="5" fillId="0" borderId="1" xfId="0" applyFont="1" applyFill="1" applyBorder="1" applyProtection="1"/>
    <xf numFmtId="0" fontId="2" fillId="0" borderId="1" xfId="0" applyFont="1" applyBorder="1" applyProtection="1"/>
    <xf numFmtId="0" fontId="5" fillId="0" borderId="0" xfId="0" applyFont="1" applyFill="1" applyBorder="1" applyProtection="1"/>
    <xf numFmtId="0" fontId="9" fillId="0" borderId="0" xfId="0" applyFont="1" applyProtection="1"/>
    <xf numFmtId="0" fontId="38" fillId="0" borderId="0" xfId="0" applyFont="1" applyFill="1" applyBorder="1" applyProtection="1"/>
    <xf numFmtId="0" fontId="0" fillId="7" borderId="0" xfId="0" applyFill="1" applyProtection="1"/>
    <xf numFmtId="2" fontId="2" fillId="7" borderId="0" xfId="0" applyNumberFormat="1" applyFont="1" applyFill="1" applyBorder="1" applyProtection="1"/>
    <xf numFmtId="2" fontId="5" fillId="7" borderId="0" xfId="0" applyNumberFormat="1" applyFont="1" applyFill="1" applyBorder="1" applyProtection="1"/>
    <xf numFmtId="2" fontId="38" fillId="7" borderId="0" xfId="0" applyNumberFormat="1" applyFont="1" applyFill="1" applyBorder="1" applyProtection="1"/>
    <xf numFmtId="2" fontId="34" fillId="7" borderId="0" xfId="0" applyNumberFormat="1" applyFont="1" applyFill="1" applyBorder="1" applyProtection="1"/>
    <xf numFmtId="2" fontId="28" fillId="7" borderId="0" xfId="0" applyNumberFormat="1" applyFont="1" applyFill="1" applyBorder="1" applyProtection="1"/>
    <xf numFmtId="2" fontId="5" fillId="7" borderId="0" xfId="0" applyNumberFormat="1" applyFont="1" applyFill="1" applyBorder="1" applyAlignment="1" applyProtection="1"/>
    <xf numFmtId="0" fontId="38" fillId="7" borderId="0" xfId="0" applyFont="1" applyFill="1" applyBorder="1" applyProtection="1"/>
    <xf numFmtId="0" fontId="9" fillId="7" borderId="0" xfId="0" applyFont="1" applyFill="1" applyProtection="1"/>
    <xf numFmtId="0" fontId="28" fillId="7" borderId="0" xfId="0" applyFont="1" applyFill="1" applyProtection="1"/>
    <xf numFmtId="0" fontId="34" fillId="0" borderId="0" xfId="0" applyFont="1" applyProtection="1"/>
    <xf numFmtId="2" fontId="4" fillId="0" borderId="0" xfId="0" applyNumberFormat="1" applyFont="1" applyBorder="1" applyAlignment="1" applyProtection="1"/>
    <xf numFmtId="2" fontId="2" fillId="0" borderId="0" xfId="0" applyNumberFormat="1" applyFont="1" applyBorder="1" applyProtection="1"/>
    <xf numFmtId="0" fontId="5" fillId="0" borderId="1" xfId="0" applyFont="1" applyBorder="1" applyProtection="1"/>
    <xf numFmtId="0" fontId="5" fillId="0" borderId="1" xfId="181" applyFont="1" applyBorder="1" applyProtection="1"/>
    <xf numFmtId="0" fontId="52" fillId="7" borderId="8" xfId="181" applyFont="1" applyFill="1" applyBorder="1" applyProtection="1"/>
    <xf numFmtId="0" fontId="52" fillId="7" borderId="0" xfId="181" applyFont="1" applyFill="1" applyBorder="1" applyProtection="1"/>
    <xf numFmtId="2" fontId="52" fillId="7" borderId="8" xfId="0" applyNumberFormat="1" applyFont="1" applyFill="1" applyBorder="1" applyProtection="1"/>
    <xf numFmtId="2" fontId="52" fillId="7" borderId="0" xfId="0" applyNumberFormat="1" applyFont="1" applyFill="1" applyBorder="1" applyProtection="1"/>
    <xf numFmtId="0" fontId="0" fillId="7" borderId="1" xfId="0" applyFill="1" applyBorder="1" applyAlignment="1" applyProtection="1">
      <alignment horizontal="right"/>
    </xf>
    <xf numFmtId="0" fontId="0" fillId="0" borderId="1" xfId="0" applyBorder="1" applyAlignment="1" applyProtection="1">
      <alignment horizontal="right" vertical="center"/>
    </xf>
    <xf numFmtId="2" fontId="0" fillId="0" borderId="1" xfId="0" applyNumberFormat="1" applyBorder="1" applyProtection="1"/>
    <xf numFmtId="0" fontId="2" fillId="0" borderId="1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/>
    </xf>
    <xf numFmtId="0" fontId="34" fillId="0" borderId="1" xfId="0" applyFont="1" applyBorder="1" applyAlignment="1" applyProtection="1">
      <alignment horizontal="right" vertical="center"/>
    </xf>
    <xf numFmtId="0" fontId="35" fillId="13" borderId="3" xfId="0" applyFont="1" applyFill="1" applyBorder="1" applyAlignment="1" applyProtection="1">
      <alignment horizontal="right" vertical="center"/>
    </xf>
    <xf numFmtId="166" fontId="35" fillId="13" borderId="10" xfId="0" applyNumberFormat="1" applyFont="1" applyFill="1" applyBorder="1" applyAlignment="1" applyProtection="1">
      <alignment horizontal="center"/>
    </xf>
    <xf numFmtId="0" fontId="35" fillId="13" borderId="7" xfId="0" applyFont="1" applyFill="1" applyBorder="1" applyAlignment="1" applyProtection="1">
      <alignment horizontal="center"/>
    </xf>
    <xf numFmtId="2" fontId="0" fillId="0" borderId="0" xfId="0" applyNumberFormat="1" applyProtection="1"/>
    <xf numFmtId="0" fontId="0" fillId="0" borderId="0" xfId="0" applyFill="1" applyProtection="1"/>
    <xf numFmtId="2" fontId="5" fillId="12" borderId="1" xfId="0" applyNumberFormat="1" applyFont="1" applyFill="1" applyBorder="1" applyProtection="1">
      <protection locked="0"/>
    </xf>
    <xf numFmtId="2" fontId="38" fillId="12" borderId="1" xfId="0" applyNumberFormat="1" applyFont="1" applyFill="1" applyBorder="1" applyProtection="1">
      <protection locked="0"/>
    </xf>
    <xf numFmtId="2" fontId="0" fillId="12" borderId="1" xfId="0" applyNumberFormat="1" applyFill="1" applyBorder="1" applyProtection="1">
      <protection locked="0"/>
    </xf>
  </cellXfs>
  <cellStyles count="33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Normal" xfId="0" builtinId="0"/>
    <cellStyle name="Normal 2" xfId="1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theme" Target="theme/theme1.xml"/><Relationship Id="rId29" Type="http://schemas.openxmlformats.org/officeDocument/2006/relationships/styles" Target="styles.xml"/><Relationship Id="rId30" Type="http://schemas.openxmlformats.org/officeDocument/2006/relationships/sharedStrings" Target="sharedStrings.xml"/><Relationship Id="rId3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115888</xdr:colOff>
      <xdr:row>25</xdr:row>
      <xdr:rowOff>107002</xdr:rowOff>
    </xdr:from>
    <xdr:ext cx="4079081" cy="193641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7888" y="4602802"/>
          <a:ext cx="4079081" cy="1936410"/>
        </a:xfrm>
        <a:prstGeom prst="rect">
          <a:avLst/>
        </a:prstGeom>
      </xdr:spPr>
    </xdr:pic>
    <xdr:clientData/>
  </xdr:oneCellAnchor>
  <xdr:twoCellAnchor editAs="oneCell">
    <xdr:from>
      <xdr:col>7</xdr:col>
      <xdr:colOff>533400</xdr:colOff>
      <xdr:row>8</xdr:row>
      <xdr:rowOff>177800</xdr:rowOff>
    </xdr:from>
    <xdr:to>
      <xdr:col>14</xdr:col>
      <xdr:colOff>270933</xdr:colOff>
      <xdr:row>24</xdr:row>
      <xdr:rowOff>16933</xdr:rowOff>
    </xdr:to>
    <xdr:pic>
      <xdr:nvPicPr>
        <xdr:cNvPr id="7" name="Imag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5733" y="1803400"/>
          <a:ext cx="4385733" cy="2980266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8467</xdr:colOff>
      <xdr:row>9</xdr:row>
      <xdr:rowOff>76200</xdr:rowOff>
    </xdr:from>
    <xdr:to>
      <xdr:col>6</xdr:col>
      <xdr:colOff>533400</xdr:colOff>
      <xdr:row>17</xdr:row>
      <xdr:rowOff>59266</xdr:rowOff>
    </xdr:to>
    <xdr:pic>
      <xdr:nvPicPr>
        <xdr:cNvPr id="4" name="Image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1896533"/>
          <a:ext cx="1981200" cy="15663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55</xdr:row>
      <xdr:rowOff>123825</xdr:rowOff>
    </xdr:from>
    <xdr:to>
      <xdr:col>8</xdr:col>
      <xdr:colOff>390525</xdr:colOff>
      <xdr:row>56</xdr:row>
      <xdr:rowOff>161925</xdr:rowOff>
    </xdr:to>
    <xdr:sp macro="" textlink="">
      <xdr:nvSpPr>
        <xdr:cNvPr id="4" name="ZoneTexte 3"/>
        <xdr:cNvSpPr txBox="1"/>
      </xdr:nvSpPr>
      <xdr:spPr>
        <a:xfrm>
          <a:off x="8458200" y="5143500"/>
          <a:ext cx="400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56</xdr:row>
      <xdr:rowOff>123825</xdr:rowOff>
    </xdr:from>
    <xdr:to>
      <xdr:col>8</xdr:col>
      <xdr:colOff>390525</xdr:colOff>
      <xdr:row>57</xdr:row>
      <xdr:rowOff>161925</xdr:rowOff>
    </xdr:to>
    <xdr:sp macro="" textlink="">
      <xdr:nvSpPr>
        <xdr:cNvPr id="3" name="ZoneTexte 2"/>
        <xdr:cNvSpPr txBox="1"/>
      </xdr:nvSpPr>
      <xdr:spPr>
        <a:xfrm>
          <a:off x="7127875" y="10868025"/>
          <a:ext cx="467783" cy="258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46</xdr:row>
      <xdr:rowOff>123825</xdr:rowOff>
    </xdr:from>
    <xdr:to>
      <xdr:col>2</xdr:col>
      <xdr:colOff>390525</xdr:colOff>
      <xdr:row>47</xdr:row>
      <xdr:rowOff>161925</xdr:rowOff>
    </xdr:to>
    <xdr:sp macro="" textlink="">
      <xdr:nvSpPr>
        <xdr:cNvPr id="2" name="ZoneTexte 1"/>
        <xdr:cNvSpPr txBox="1"/>
      </xdr:nvSpPr>
      <xdr:spPr>
        <a:xfrm>
          <a:off x="7102475" y="101949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47</xdr:row>
      <xdr:rowOff>123825</xdr:rowOff>
    </xdr:from>
    <xdr:to>
      <xdr:col>2</xdr:col>
      <xdr:colOff>390525</xdr:colOff>
      <xdr:row>48</xdr:row>
      <xdr:rowOff>161925</xdr:rowOff>
    </xdr:to>
    <xdr:sp macro="" textlink="">
      <xdr:nvSpPr>
        <xdr:cNvPr id="3" name="ZoneTexte 2"/>
        <xdr:cNvSpPr txBox="1"/>
      </xdr:nvSpPr>
      <xdr:spPr>
        <a:xfrm>
          <a:off x="7102475" y="1041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47</xdr:row>
      <xdr:rowOff>123825</xdr:rowOff>
    </xdr:from>
    <xdr:to>
      <xdr:col>2</xdr:col>
      <xdr:colOff>390525</xdr:colOff>
      <xdr:row>48</xdr:row>
      <xdr:rowOff>161925</xdr:rowOff>
    </xdr:to>
    <xdr:sp macro="" textlink="">
      <xdr:nvSpPr>
        <xdr:cNvPr id="4" name="ZoneTexte 3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48</xdr:row>
      <xdr:rowOff>123825</xdr:rowOff>
    </xdr:from>
    <xdr:to>
      <xdr:col>2</xdr:col>
      <xdr:colOff>390525</xdr:colOff>
      <xdr:row>49</xdr:row>
      <xdr:rowOff>161925</xdr:rowOff>
    </xdr:to>
    <xdr:sp macro="" textlink="">
      <xdr:nvSpPr>
        <xdr:cNvPr id="5" name="ZoneTexte 4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49</xdr:row>
      <xdr:rowOff>123825</xdr:rowOff>
    </xdr:from>
    <xdr:to>
      <xdr:col>2</xdr:col>
      <xdr:colOff>390525</xdr:colOff>
      <xdr:row>50</xdr:row>
      <xdr:rowOff>161925</xdr:rowOff>
    </xdr:to>
    <xdr:sp macro="" textlink="">
      <xdr:nvSpPr>
        <xdr:cNvPr id="6" name="ZoneTexte 5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50</xdr:row>
      <xdr:rowOff>123825</xdr:rowOff>
    </xdr:from>
    <xdr:to>
      <xdr:col>2</xdr:col>
      <xdr:colOff>390525</xdr:colOff>
      <xdr:row>51</xdr:row>
      <xdr:rowOff>161925</xdr:rowOff>
    </xdr:to>
    <xdr:sp macro="" textlink="">
      <xdr:nvSpPr>
        <xdr:cNvPr id="7" name="ZoneTexte 6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51</xdr:row>
      <xdr:rowOff>123825</xdr:rowOff>
    </xdr:from>
    <xdr:to>
      <xdr:col>2</xdr:col>
      <xdr:colOff>390525</xdr:colOff>
      <xdr:row>52</xdr:row>
      <xdr:rowOff>161925</xdr:rowOff>
    </xdr:to>
    <xdr:sp macro="" textlink="">
      <xdr:nvSpPr>
        <xdr:cNvPr id="8" name="ZoneTexte 7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46</xdr:row>
      <xdr:rowOff>123825</xdr:rowOff>
    </xdr:from>
    <xdr:to>
      <xdr:col>4</xdr:col>
      <xdr:colOff>390525</xdr:colOff>
      <xdr:row>47</xdr:row>
      <xdr:rowOff>161925</xdr:rowOff>
    </xdr:to>
    <xdr:sp macro="" textlink="">
      <xdr:nvSpPr>
        <xdr:cNvPr id="9" name="ZoneTexte 8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10" name="ZoneTexte 9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11" name="ZoneTexte 10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48</xdr:row>
      <xdr:rowOff>123825</xdr:rowOff>
    </xdr:from>
    <xdr:to>
      <xdr:col>4</xdr:col>
      <xdr:colOff>390525</xdr:colOff>
      <xdr:row>49</xdr:row>
      <xdr:rowOff>161925</xdr:rowOff>
    </xdr:to>
    <xdr:sp macro="" textlink="">
      <xdr:nvSpPr>
        <xdr:cNvPr id="12" name="ZoneTexte 11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49</xdr:row>
      <xdr:rowOff>123825</xdr:rowOff>
    </xdr:from>
    <xdr:to>
      <xdr:col>4</xdr:col>
      <xdr:colOff>390525</xdr:colOff>
      <xdr:row>50</xdr:row>
      <xdr:rowOff>161925</xdr:rowOff>
    </xdr:to>
    <xdr:sp macro="" textlink="">
      <xdr:nvSpPr>
        <xdr:cNvPr id="13" name="ZoneTexte 12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16" name="ZoneTexte 15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7" name="ZoneTexte 16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8" name="ZoneTexte 17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19" name="ZoneTexte 18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49</xdr:row>
      <xdr:rowOff>123825</xdr:rowOff>
    </xdr:from>
    <xdr:to>
      <xdr:col>5</xdr:col>
      <xdr:colOff>390525</xdr:colOff>
      <xdr:row>50</xdr:row>
      <xdr:rowOff>161925</xdr:rowOff>
    </xdr:to>
    <xdr:sp macro="" textlink="">
      <xdr:nvSpPr>
        <xdr:cNvPr id="20" name="ZoneTexte 19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50</xdr:row>
      <xdr:rowOff>123825</xdr:rowOff>
    </xdr:from>
    <xdr:to>
      <xdr:col>5</xdr:col>
      <xdr:colOff>390525</xdr:colOff>
      <xdr:row>51</xdr:row>
      <xdr:rowOff>161925</xdr:rowOff>
    </xdr:to>
    <xdr:sp macro="" textlink="">
      <xdr:nvSpPr>
        <xdr:cNvPr id="21" name="ZoneTexte 20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51</xdr:row>
      <xdr:rowOff>123825</xdr:rowOff>
    </xdr:from>
    <xdr:to>
      <xdr:col>5</xdr:col>
      <xdr:colOff>390525</xdr:colOff>
      <xdr:row>52</xdr:row>
      <xdr:rowOff>161925</xdr:rowOff>
    </xdr:to>
    <xdr:sp macro="" textlink="">
      <xdr:nvSpPr>
        <xdr:cNvPr id="22" name="ZoneTexte 21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3" name="ZoneTexte 22"/>
        <xdr:cNvSpPr txBox="1"/>
      </xdr:nvSpPr>
      <xdr:spPr>
        <a:xfrm>
          <a:off x="2462742" y="8598958"/>
          <a:ext cx="467783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4" name="ZoneTexte 23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5" name="ZoneTexte 24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6" name="ZoneTexte 25"/>
        <xdr:cNvSpPr txBox="1"/>
      </xdr:nvSpPr>
      <xdr:spPr>
        <a:xfrm>
          <a:off x="2462742" y="89968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49</xdr:row>
      <xdr:rowOff>123825</xdr:rowOff>
    </xdr:from>
    <xdr:to>
      <xdr:col>6</xdr:col>
      <xdr:colOff>390525</xdr:colOff>
      <xdr:row>50</xdr:row>
      <xdr:rowOff>161925</xdr:rowOff>
    </xdr:to>
    <xdr:sp macro="" textlink="">
      <xdr:nvSpPr>
        <xdr:cNvPr id="27" name="ZoneTexte 26"/>
        <xdr:cNvSpPr txBox="1"/>
      </xdr:nvSpPr>
      <xdr:spPr>
        <a:xfrm>
          <a:off x="2462742" y="91746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50</xdr:row>
      <xdr:rowOff>123825</xdr:rowOff>
    </xdr:from>
    <xdr:to>
      <xdr:col>6</xdr:col>
      <xdr:colOff>390525</xdr:colOff>
      <xdr:row>51</xdr:row>
      <xdr:rowOff>161925</xdr:rowOff>
    </xdr:to>
    <xdr:sp macro="" textlink="">
      <xdr:nvSpPr>
        <xdr:cNvPr id="28" name="ZoneTexte 27"/>
        <xdr:cNvSpPr txBox="1"/>
      </xdr:nvSpPr>
      <xdr:spPr>
        <a:xfrm>
          <a:off x="2462742" y="93524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51</xdr:row>
      <xdr:rowOff>123825</xdr:rowOff>
    </xdr:from>
    <xdr:to>
      <xdr:col>6</xdr:col>
      <xdr:colOff>390525</xdr:colOff>
      <xdr:row>52</xdr:row>
      <xdr:rowOff>161925</xdr:rowOff>
    </xdr:to>
    <xdr:sp macro="" textlink="">
      <xdr:nvSpPr>
        <xdr:cNvPr id="29" name="ZoneTexte 28"/>
        <xdr:cNvSpPr txBox="1"/>
      </xdr:nvSpPr>
      <xdr:spPr>
        <a:xfrm>
          <a:off x="2462742" y="95302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30" name="ZoneTexte 29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31" name="ZoneTexte 30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32" name="ZoneTexte 31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33" name="ZoneTexte 32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49</xdr:row>
      <xdr:rowOff>123825</xdr:rowOff>
    </xdr:from>
    <xdr:to>
      <xdr:col>6</xdr:col>
      <xdr:colOff>390525</xdr:colOff>
      <xdr:row>50</xdr:row>
      <xdr:rowOff>161925</xdr:rowOff>
    </xdr:to>
    <xdr:sp macro="" textlink="">
      <xdr:nvSpPr>
        <xdr:cNvPr id="34" name="ZoneTexte 33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50</xdr:row>
      <xdr:rowOff>123825</xdr:rowOff>
    </xdr:from>
    <xdr:to>
      <xdr:col>6</xdr:col>
      <xdr:colOff>390525</xdr:colOff>
      <xdr:row>51</xdr:row>
      <xdr:rowOff>161925</xdr:rowOff>
    </xdr:to>
    <xdr:sp macro="" textlink="">
      <xdr:nvSpPr>
        <xdr:cNvPr id="35" name="ZoneTexte 34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51</xdr:row>
      <xdr:rowOff>123825</xdr:rowOff>
    </xdr:from>
    <xdr:to>
      <xdr:col>6</xdr:col>
      <xdr:colOff>390525</xdr:colOff>
      <xdr:row>52</xdr:row>
      <xdr:rowOff>161925</xdr:rowOff>
    </xdr:to>
    <xdr:sp macro="" textlink="">
      <xdr:nvSpPr>
        <xdr:cNvPr id="36" name="ZoneTexte 35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37" name="ZoneTexte 36"/>
        <xdr:cNvSpPr txBox="1"/>
      </xdr:nvSpPr>
      <xdr:spPr>
        <a:xfrm>
          <a:off x="2462742" y="8598958"/>
          <a:ext cx="467783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38" name="ZoneTexte 37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39" name="ZoneTexte 38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40" name="ZoneTexte 39"/>
        <xdr:cNvSpPr txBox="1"/>
      </xdr:nvSpPr>
      <xdr:spPr>
        <a:xfrm>
          <a:off x="2462742" y="89968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41" name="ZoneTexte 40"/>
        <xdr:cNvSpPr txBox="1"/>
      </xdr:nvSpPr>
      <xdr:spPr>
        <a:xfrm>
          <a:off x="2462742" y="91746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161925</xdr:rowOff>
    </xdr:to>
    <xdr:sp macro="" textlink="">
      <xdr:nvSpPr>
        <xdr:cNvPr id="42" name="ZoneTexte 41"/>
        <xdr:cNvSpPr txBox="1"/>
      </xdr:nvSpPr>
      <xdr:spPr>
        <a:xfrm>
          <a:off x="2462742" y="93524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123825</xdr:rowOff>
    </xdr:from>
    <xdr:to>
      <xdr:col>7</xdr:col>
      <xdr:colOff>390525</xdr:colOff>
      <xdr:row>52</xdr:row>
      <xdr:rowOff>161925</xdr:rowOff>
    </xdr:to>
    <xdr:sp macro="" textlink="">
      <xdr:nvSpPr>
        <xdr:cNvPr id="43" name="ZoneTexte 42"/>
        <xdr:cNvSpPr txBox="1"/>
      </xdr:nvSpPr>
      <xdr:spPr>
        <a:xfrm>
          <a:off x="2462742" y="95302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44" name="ZoneTexte 43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45" name="ZoneTexte 44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46" name="ZoneTexte 45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47" name="ZoneTexte 46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48" name="ZoneTexte 47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161925</xdr:rowOff>
    </xdr:to>
    <xdr:sp macro="" textlink="">
      <xdr:nvSpPr>
        <xdr:cNvPr id="49" name="ZoneTexte 48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123825</xdr:rowOff>
    </xdr:from>
    <xdr:to>
      <xdr:col>7</xdr:col>
      <xdr:colOff>390525</xdr:colOff>
      <xdr:row>52</xdr:row>
      <xdr:rowOff>161925</xdr:rowOff>
    </xdr:to>
    <xdr:sp macro="" textlink="">
      <xdr:nvSpPr>
        <xdr:cNvPr id="50" name="ZoneTexte 49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51" name="ZoneTexte 50"/>
        <xdr:cNvSpPr txBox="1"/>
      </xdr:nvSpPr>
      <xdr:spPr>
        <a:xfrm>
          <a:off x="2462742" y="8598958"/>
          <a:ext cx="467783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52" name="ZoneTexte 51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53" name="ZoneTexte 52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54" name="ZoneTexte 53"/>
        <xdr:cNvSpPr txBox="1"/>
      </xdr:nvSpPr>
      <xdr:spPr>
        <a:xfrm>
          <a:off x="2462742" y="89968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55" name="ZoneTexte 54"/>
        <xdr:cNvSpPr txBox="1"/>
      </xdr:nvSpPr>
      <xdr:spPr>
        <a:xfrm>
          <a:off x="2462742" y="91746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161925</xdr:rowOff>
    </xdr:to>
    <xdr:sp macro="" textlink="">
      <xdr:nvSpPr>
        <xdr:cNvPr id="56" name="ZoneTexte 55"/>
        <xdr:cNvSpPr txBox="1"/>
      </xdr:nvSpPr>
      <xdr:spPr>
        <a:xfrm>
          <a:off x="2462742" y="93524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51</xdr:row>
      <xdr:rowOff>123825</xdr:rowOff>
    </xdr:from>
    <xdr:to>
      <xdr:col>8</xdr:col>
      <xdr:colOff>390525</xdr:colOff>
      <xdr:row>52</xdr:row>
      <xdr:rowOff>161925</xdr:rowOff>
    </xdr:to>
    <xdr:sp macro="" textlink="">
      <xdr:nvSpPr>
        <xdr:cNvPr id="57" name="ZoneTexte 56"/>
        <xdr:cNvSpPr txBox="1"/>
      </xdr:nvSpPr>
      <xdr:spPr>
        <a:xfrm>
          <a:off x="2462742" y="95302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58" name="ZoneTexte 57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59" name="ZoneTexte 58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60" name="ZoneTexte 59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61" name="ZoneTexte 60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62" name="ZoneTexte 61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161925</xdr:rowOff>
    </xdr:to>
    <xdr:sp macro="" textlink="">
      <xdr:nvSpPr>
        <xdr:cNvPr id="63" name="ZoneTexte 62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51</xdr:row>
      <xdr:rowOff>123825</xdr:rowOff>
    </xdr:from>
    <xdr:to>
      <xdr:col>8</xdr:col>
      <xdr:colOff>390525</xdr:colOff>
      <xdr:row>52</xdr:row>
      <xdr:rowOff>161925</xdr:rowOff>
    </xdr:to>
    <xdr:sp macro="" textlink="">
      <xdr:nvSpPr>
        <xdr:cNvPr id="64" name="ZoneTexte 63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65" name="ZoneTexte 64"/>
        <xdr:cNvSpPr txBox="1"/>
      </xdr:nvSpPr>
      <xdr:spPr>
        <a:xfrm>
          <a:off x="2462742" y="8598958"/>
          <a:ext cx="467783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66" name="ZoneTexte 65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67" name="ZoneTexte 66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68" name="ZoneTexte 67"/>
        <xdr:cNvSpPr txBox="1"/>
      </xdr:nvSpPr>
      <xdr:spPr>
        <a:xfrm>
          <a:off x="2462742" y="89968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69" name="ZoneTexte 68"/>
        <xdr:cNvSpPr txBox="1"/>
      </xdr:nvSpPr>
      <xdr:spPr>
        <a:xfrm>
          <a:off x="2462742" y="91746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161925</xdr:rowOff>
    </xdr:to>
    <xdr:sp macro="" textlink="">
      <xdr:nvSpPr>
        <xdr:cNvPr id="70" name="ZoneTexte 69"/>
        <xdr:cNvSpPr txBox="1"/>
      </xdr:nvSpPr>
      <xdr:spPr>
        <a:xfrm>
          <a:off x="2462742" y="93524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51</xdr:row>
      <xdr:rowOff>123825</xdr:rowOff>
    </xdr:from>
    <xdr:to>
      <xdr:col>9</xdr:col>
      <xdr:colOff>390525</xdr:colOff>
      <xdr:row>52</xdr:row>
      <xdr:rowOff>161925</xdr:rowOff>
    </xdr:to>
    <xdr:sp macro="" textlink="">
      <xdr:nvSpPr>
        <xdr:cNvPr id="71" name="ZoneTexte 70"/>
        <xdr:cNvSpPr txBox="1"/>
      </xdr:nvSpPr>
      <xdr:spPr>
        <a:xfrm>
          <a:off x="2462742" y="95302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72" name="ZoneTexte 71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73" name="ZoneTexte 72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74" name="ZoneTexte 73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75" name="ZoneTexte 74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76" name="ZoneTexte 75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161925</xdr:rowOff>
    </xdr:to>
    <xdr:sp macro="" textlink="">
      <xdr:nvSpPr>
        <xdr:cNvPr id="77" name="ZoneTexte 76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51</xdr:row>
      <xdr:rowOff>123825</xdr:rowOff>
    </xdr:from>
    <xdr:to>
      <xdr:col>9</xdr:col>
      <xdr:colOff>390525</xdr:colOff>
      <xdr:row>52</xdr:row>
      <xdr:rowOff>161925</xdr:rowOff>
    </xdr:to>
    <xdr:sp macro="" textlink="">
      <xdr:nvSpPr>
        <xdr:cNvPr id="78" name="ZoneTexte 77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79" name="ZoneTexte 78"/>
        <xdr:cNvSpPr txBox="1"/>
      </xdr:nvSpPr>
      <xdr:spPr>
        <a:xfrm>
          <a:off x="2462742" y="8598958"/>
          <a:ext cx="467783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80" name="ZoneTexte 79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81" name="ZoneTexte 80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82" name="ZoneTexte 81"/>
        <xdr:cNvSpPr txBox="1"/>
      </xdr:nvSpPr>
      <xdr:spPr>
        <a:xfrm>
          <a:off x="2462742" y="89968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83" name="ZoneTexte 82"/>
        <xdr:cNvSpPr txBox="1"/>
      </xdr:nvSpPr>
      <xdr:spPr>
        <a:xfrm>
          <a:off x="2462742" y="91746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161925</xdr:rowOff>
    </xdr:to>
    <xdr:sp macro="" textlink="">
      <xdr:nvSpPr>
        <xdr:cNvPr id="84" name="ZoneTexte 83"/>
        <xdr:cNvSpPr txBox="1"/>
      </xdr:nvSpPr>
      <xdr:spPr>
        <a:xfrm>
          <a:off x="2462742" y="93524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51</xdr:row>
      <xdr:rowOff>123825</xdr:rowOff>
    </xdr:from>
    <xdr:to>
      <xdr:col>10</xdr:col>
      <xdr:colOff>390525</xdr:colOff>
      <xdr:row>52</xdr:row>
      <xdr:rowOff>161925</xdr:rowOff>
    </xdr:to>
    <xdr:sp macro="" textlink="">
      <xdr:nvSpPr>
        <xdr:cNvPr id="85" name="ZoneTexte 84"/>
        <xdr:cNvSpPr txBox="1"/>
      </xdr:nvSpPr>
      <xdr:spPr>
        <a:xfrm>
          <a:off x="2462742" y="95302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46</xdr:row>
      <xdr:rowOff>123825</xdr:rowOff>
    </xdr:from>
    <xdr:to>
      <xdr:col>3</xdr:col>
      <xdr:colOff>390525</xdr:colOff>
      <xdr:row>47</xdr:row>
      <xdr:rowOff>161925</xdr:rowOff>
    </xdr:to>
    <xdr:sp macro="" textlink="">
      <xdr:nvSpPr>
        <xdr:cNvPr id="86" name="ZoneTexte 85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3</xdr:col>
      <xdr:colOff>390525</xdr:colOff>
      <xdr:row>48</xdr:row>
      <xdr:rowOff>161925</xdr:rowOff>
    </xdr:to>
    <xdr:sp macro="" textlink="">
      <xdr:nvSpPr>
        <xdr:cNvPr id="87" name="ZoneTexte 86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3</xdr:col>
      <xdr:colOff>390525</xdr:colOff>
      <xdr:row>48</xdr:row>
      <xdr:rowOff>161925</xdr:rowOff>
    </xdr:to>
    <xdr:sp macro="" textlink="">
      <xdr:nvSpPr>
        <xdr:cNvPr id="88" name="ZoneTexte 87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48</xdr:row>
      <xdr:rowOff>123825</xdr:rowOff>
    </xdr:from>
    <xdr:to>
      <xdr:col>3</xdr:col>
      <xdr:colOff>390525</xdr:colOff>
      <xdr:row>49</xdr:row>
      <xdr:rowOff>161925</xdr:rowOff>
    </xdr:to>
    <xdr:sp macro="" textlink="">
      <xdr:nvSpPr>
        <xdr:cNvPr id="89" name="ZoneTexte 88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49</xdr:row>
      <xdr:rowOff>123825</xdr:rowOff>
    </xdr:from>
    <xdr:to>
      <xdr:col>3</xdr:col>
      <xdr:colOff>390525</xdr:colOff>
      <xdr:row>50</xdr:row>
      <xdr:rowOff>161925</xdr:rowOff>
    </xdr:to>
    <xdr:sp macro="" textlink="">
      <xdr:nvSpPr>
        <xdr:cNvPr id="90" name="ZoneTexte 89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50</xdr:row>
      <xdr:rowOff>123825</xdr:rowOff>
    </xdr:from>
    <xdr:to>
      <xdr:col>3</xdr:col>
      <xdr:colOff>390525</xdr:colOff>
      <xdr:row>51</xdr:row>
      <xdr:rowOff>161925</xdr:rowOff>
    </xdr:to>
    <xdr:sp macro="" textlink="">
      <xdr:nvSpPr>
        <xdr:cNvPr id="91" name="ZoneTexte 90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51</xdr:row>
      <xdr:rowOff>123825</xdr:rowOff>
    </xdr:from>
    <xdr:to>
      <xdr:col>3</xdr:col>
      <xdr:colOff>390525</xdr:colOff>
      <xdr:row>52</xdr:row>
      <xdr:rowOff>161925</xdr:rowOff>
    </xdr:to>
    <xdr:sp macro="" textlink="">
      <xdr:nvSpPr>
        <xdr:cNvPr id="92" name="ZoneTexte 91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46</xdr:row>
      <xdr:rowOff>123825</xdr:rowOff>
    </xdr:from>
    <xdr:to>
      <xdr:col>4</xdr:col>
      <xdr:colOff>390525</xdr:colOff>
      <xdr:row>47</xdr:row>
      <xdr:rowOff>161925</xdr:rowOff>
    </xdr:to>
    <xdr:sp macro="" textlink="">
      <xdr:nvSpPr>
        <xdr:cNvPr id="93" name="ZoneTexte 92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94" name="ZoneTexte 93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95" name="ZoneTexte 94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48</xdr:row>
      <xdr:rowOff>123825</xdr:rowOff>
    </xdr:from>
    <xdr:to>
      <xdr:col>4</xdr:col>
      <xdr:colOff>390525</xdr:colOff>
      <xdr:row>49</xdr:row>
      <xdr:rowOff>161925</xdr:rowOff>
    </xdr:to>
    <xdr:sp macro="" textlink="">
      <xdr:nvSpPr>
        <xdr:cNvPr id="96" name="ZoneTexte 95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49</xdr:row>
      <xdr:rowOff>123825</xdr:rowOff>
    </xdr:from>
    <xdr:to>
      <xdr:col>4</xdr:col>
      <xdr:colOff>390525</xdr:colOff>
      <xdr:row>50</xdr:row>
      <xdr:rowOff>161925</xdr:rowOff>
    </xdr:to>
    <xdr:sp macro="" textlink="">
      <xdr:nvSpPr>
        <xdr:cNvPr id="97" name="ZoneTexte 96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50</xdr:row>
      <xdr:rowOff>123825</xdr:rowOff>
    </xdr:from>
    <xdr:to>
      <xdr:col>4</xdr:col>
      <xdr:colOff>390525</xdr:colOff>
      <xdr:row>51</xdr:row>
      <xdr:rowOff>161925</xdr:rowOff>
    </xdr:to>
    <xdr:sp macro="" textlink="">
      <xdr:nvSpPr>
        <xdr:cNvPr id="98" name="ZoneTexte 97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51</xdr:row>
      <xdr:rowOff>123825</xdr:rowOff>
    </xdr:from>
    <xdr:to>
      <xdr:col>4</xdr:col>
      <xdr:colOff>390525</xdr:colOff>
      <xdr:row>52</xdr:row>
      <xdr:rowOff>161925</xdr:rowOff>
    </xdr:to>
    <xdr:sp macro="" textlink="">
      <xdr:nvSpPr>
        <xdr:cNvPr id="99" name="ZoneTexte 98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100" name="ZoneTexte 99"/>
        <xdr:cNvSpPr txBox="1"/>
      </xdr:nvSpPr>
      <xdr:spPr>
        <a:xfrm>
          <a:off x="2462742" y="8598958"/>
          <a:ext cx="467783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01" name="ZoneTexte 100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02" name="ZoneTexte 101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103" name="ZoneTexte 102"/>
        <xdr:cNvSpPr txBox="1"/>
      </xdr:nvSpPr>
      <xdr:spPr>
        <a:xfrm>
          <a:off x="2462742" y="89968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49</xdr:row>
      <xdr:rowOff>123825</xdr:rowOff>
    </xdr:from>
    <xdr:to>
      <xdr:col>5</xdr:col>
      <xdr:colOff>390525</xdr:colOff>
      <xdr:row>50</xdr:row>
      <xdr:rowOff>161925</xdr:rowOff>
    </xdr:to>
    <xdr:sp macro="" textlink="">
      <xdr:nvSpPr>
        <xdr:cNvPr id="104" name="ZoneTexte 103"/>
        <xdr:cNvSpPr txBox="1"/>
      </xdr:nvSpPr>
      <xdr:spPr>
        <a:xfrm>
          <a:off x="2462742" y="91746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50</xdr:row>
      <xdr:rowOff>123825</xdr:rowOff>
    </xdr:from>
    <xdr:to>
      <xdr:col>5</xdr:col>
      <xdr:colOff>390525</xdr:colOff>
      <xdr:row>51</xdr:row>
      <xdr:rowOff>161925</xdr:rowOff>
    </xdr:to>
    <xdr:sp macro="" textlink="">
      <xdr:nvSpPr>
        <xdr:cNvPr id="105" name="ZoneTexte 104"/>
        <xdr:cNvSpPr txBox="1"/>
      </xdr:nvSpPr>
      <xdr:spPr>
        <a:xfrm>
          <a:off x="2462742" y="93524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51</xdr:row>
      <xdr:rowOff>123825</xdr:rowOff>
    </xdr:from>
    <xdr:to>
      <xdr:col>5</xdr:col>
      <xdr:colOff>390525</xdr:colOff>
      <xdr:row>52</xdr:row>
      <xdr:rowOff>161925</xdr:rowOff>
    </xdr:to>
    <xdr:sp macro="" textlink="">
      <xdr:nvSpPr>
        <xdr:cNvPr id="106" name="ZoneTexte 105"/>
        <xdr:cNvSpPr txBox="1"/>
      </xdr:nvSpPr>
      <xdr:spPr>
        <a:xfrm>
          <a:off x="2462742" y="95302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107" name="ZoneTexte 106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08" name="ZoneTexte 107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09" name="ZoneTexte 108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110" name="ZoneTexte 109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49</xdr:row>
      <xdr:rowOff>123825</xdr:rowOff>
    </xdr:from>
    <xdr:to>
      <xdr:col>5</xdr:col>
      <xdr:colOff>390525</xdr:colOff>
      <xdr:row>50</xdr:row>
      <xdr:rowOff>161925</xdr:rowOff>
    </xdr:to>
    <xdr:sp macro="" textlink="">
      <xdr:nvSpPr>
        <xdr:cNvPr id="111" name="ZoneTexte 110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50</xdr:row>
      <xdr:rowOff>123825</xdr:rowOff>
    </xdr:from>
    <xdr:to>
      <xdr:col>5</xdr:col>
      <xdr:colOff>390525</xdr:colOff>
      <xdr:row>51</xdr:row>
      <xdr:rowOff>161925</xdr:rowOff>
    </xdr:to>
    <xdr:sp macro="" textlink="">
      <xdr:nvSpPr>
        <xdr:cNvPr id="112" name="ZoneTexte 111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51</xdr:row>
      <xdr:rowOff>123825</xdr:rowOff>
    </xdr:from>
    <xdr:to>
      <xdr:col>5</xdr:col>
      <xdr:colOff>390525</xdr:colOff>
      <xdr:row>52</xdr:row>
      <xdr:rowOff>161925</xdr:rowOff>
    </xdr:to>
    <xdr:sp macro="" textlink="">
      <xdr:nvSpPr>
        <xdr:cNvPr id="113" name="ZoneTexte 112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14" name="ZoneTexte 113"/>
        <xdr:cNvSpPr txBox="1"/>
      </xdr:nvSpPr>
      <xdr:spPr>
        <a:xfrm>
          <a:off x="2462742" y="8598958"/>
          <a:ext cx="467783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15" name="ZoneTexte 114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16" name="ZoneTexte 115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17" name="ZoneTexte 116"/>
        <xdr:cNvSpPr txBox="1"/>
      </xdr:nvSpPr>
      <xdr:spPr>
        <a:xfrm>
          <a:off x="2462742" y="89968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49</xdr:row>
      <xdr:rowOff>123825</xdr:rowOff>
    </xdr:from>
    <xdr:to>
      <xdr:col>6</xdr:col>
      <xdr:colOff>390525</xdr:colOff>
      <xdr:row>50</xdr:row>
      <xdr:rowOff>161925</xdr:rowOff>
    </xdr:to>
    <xdr:sp macro="" textlink="">
      <xdr:nvSpPr>
        <xdr:cNvPr id="118" name="ZoneTexte 117"/>
        <xdr:cNvSpPr txBox="1"/>
      </xdr:nvSpPr>
      <xdr:spPr>
        <a:xfrm>
          <a:off x="2462742" y="91746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50</xdr:row>
      <xdr:rowOff>123825</xdr:rowOff>
    </xdr:from>
    <xdr:to>
      <xdr:col>6</xdr:col>
      <xdr:colOff>390525</xdr:colOff>
      <xdr:row>51</xdr:row>
      <xdr:rowOff>161925</xdr:rowOff>
    </xdr:to>
    <xdr:sp macro="" textlink="">
      <xdr:nvSpPr>
        <xdr:cNvPr id="119" name="ZoneTexte 118"/>
        <xdr:cNvSpPr txBox="1"/>
      </xdr:nvSpPr>
      <xdr:spPr>
        <a:xfrm>
          <a:off x="2462742" y="93524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51</xdr:row>
      <xdr:rowOff>123825</xdr:rowOff>
    </xdr:from>
    <xdr:to>
      <xdr:col>6</xdr:col>
      <xdr:colOff>390525</xdr:colOff>
      <xdr:row>52</xdr:row>
      <xdr:rowOff>161925</xdr:rowOff>
    </xdr:to>
    <xdr:sp macro="" textlink="">
      <xdr:nvSpPr>
        <xdr:cNvPr id="120" name="ZoneTexte 119"/>
        <xdr:cNvSpPr txBox="1"/>
      </xdr:nvSpPr>
      <xdr:spPr>
        <a:xfrm>
          <a:off x="2462742" y="95302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21" name="ZoneTexte 120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22" name="ZoneTexte 121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23" name="ZoneTexte 122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24" name="ZoneTexte 123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49</xdr:row>
      <xdr:rowOff>123825</xdr:rowOff>
    </xdr:from>
    <xdr:to>
      <xdr:col>6</xdr:col>
      <xdr:colOff>390525</xdr:colOff>
      <xdr:row>50</xdr:row>
      <xdr:rowOff>161925</xdr:rowOff>
    </xdr:to>
    <xdr:sp macro="" textlink="">
      <xdr:nvSpPr>
        <xdr:cNvPr id="125" name="ZoneTexte 124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50</xdr:row>
      <xdr:rowOff>123825</xdr:rowOff>
    </xdr:from>
    <xdr:to>
      <xdr:col>6</xdr:col>
      <xdr:colOff>390525</xdr:colOff>
      <xdr:row>51</xdr:row>
      <xdr:rowOff>161925</xdr:rowOff>
    </xdr:to>
    <xdr:sp macro="" textlink="">
      <xdr:nvSpPr>
        <xdr:cNvPr id="126" name="ZoneTexte 125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51</xdr:row>
      <xdr:rowOff>123825</xdr:rowOff>
    </xdr:from>
    <xdr:to>
      <xdr:col>6</xdr:col>
      <xdr:colOff>390525</xdr:colOff>
      <xdr:row>52</xdr:row>
      <xdr:rowOff>161925</xdr:rowOff>
    </xdr:to>
    <xdr:sp macro="" textlink="">
      <xdr:nvSpPr>
        <xdr:cNvPr id="127" name="ZoneTexte 126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128" name="ZoneTexte 127"/>
        <xdr:cNvSpPr txBox="1"/>
      </xdr:nvSpPr>
      <xdr:spPr>
        <a:xfrm>
          <a:off x="2462742" y="8598958"/>
          <a:ext cx="467783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29" name="ZoneTexte 128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30" name="ZoneTexte 129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131" name="ZoneTexte 130"/>
        <xdr:cNvSpPr txBox="1"/>
      </xdr:nvSpPr>
      <xdr:spPr>
        <a:xfrm>
          <a:off x="2462742" y="89968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132" name="ZoneTexte 131"/>
        <xdr:cNvSpPr txBox="1"/>
      </xdr:nvSpPr>
      <xdr:spPr>
        <a:xfrm>
          <a:off x="2462742" y="91746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161925</xdr:rowOff>
    </xdr:to>
    <xdr:sp macro="" textlink="">
      <xdr:nvSpPr>
        <xdr:cNvPr id="133" name="ZoneTexte 132"/>
        <xdr:cNvSpPr txBox="1"/>
      </xdr:nvSpPr>
      <xdr:spPr>
        <a:xfrm>
          <a:off x="2462742" y="93524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123825</xdr:rowOff>
    </xdr:from>
    <xdr:to>
      <xdr:col>7</xdr:col>
      <xdr:colOff>390525</xdr:colOff>
      <xdr:row>52</xdr:row>
      <xdr:rowOff>161925</xdr:rowOff>
    </xdr:to>
    <xdr:sp macro="" textlink="">
      <xdr:nvSpPr>
        <xdr:cNvPr id="134" name="ZoneTexte 133"/>
        <xdr:cNvSpPr txBox="1"/>
      </xdr:nvSpPr>
      <xdr:spPr>
        <a:xfrm>
          <a:off x="2462742" y="95302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135" name="ZoneTexte 134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36" name="ZoneTexte 135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37" name="ZoneTexte 136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138" name="ZoneTexte 137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139" name="ZoneTexte 138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161925</xdr:rowOff>
    </xdr:to>
    <xdr:sp macro="" textlink="">
      <xdr:nvSpPr>
        <xdr:cNvPr id="140" name="ZoneTexte 139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123825</xdr:rowOff>
    </xdr:from>
    <xdr:to>
      <xdr:col>7</xdr:col>
      <xdr:colOff>390525</xdr:colOff>
      <xdr:row>52</xdr:row>
      <xdr:rowOff>161925</xdr:rowOff>
    </xdr:to>
    <xdr:sp macro="" textlink="">
      <xdr:nvSpPr>
        <xdr:cNvPr id="141" name="ZoneTexte 140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142" name="ZoneTexte 141"/>
        <xdr:cNvSpPr txBox="1"/>
      </xdr:nvSpPr>
      <xdr:spPr>
        <a:xfrm>
          <a:off x="2462742" y="8598958"/>
          <a:ext cx="467783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43" name="ZoneTexte 142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44" name="ZoneTexte 143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145" name="ZoneTexte 144"/>
        <xdr:cNvSpPr txBox="1"/>
      </xdr:nvSpPr>
      <xdr:spPr>
        <a:xfrm>
          <a:off x="2462742" y="89968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146" name="ZoneTexte 145"/>
        <xdr:cNvSpPr txBox="1"/>
      </xdr:nvSpPr>
      <xdr:spPr>
        <a:xfrm>
          <a:off x="2462742" y="91746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161925</xdr:rowOff>
    </xdr:to>
    <xdr:sp macro="" textlink="">
      <xdr:nvSpPr>
        <xdr:cNvPr id="147" name="ZoneTexte 146"/>
        <xdr:cNvSpPr txBox="1"/>
      </xdr:nvSpPr>
      <xdr:spPr>
        <a:xfrm>
          <a:off x="2462742" y="93524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51</xdr:row>
      <xdr:rowOff>123825</xdr:rowOff>
    </xdr:from>
    <xdr:to>
      <xdr:col>8</xdr:col>
      <xdr:colOff>390525</xdr:colOff>
      <xdr:row>52</xdr:row>
      <xdr:rowOff>161925</xdr:rowOff>
    </xdr:to>
    <xdr:sp macro="" textlink="">
      <xdr:nvSpPr>
        <xdr:cNvPr id="148" name="ZoneTexte 147"/>
        <xdr:cNvSpPr txBox="1"/>
      </xdr:nvSpPr>
      <xdr:spPr>
        <a:xfrm>
          <a:off x="2462742" y="95302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149" name="ZoneTexte 148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50" name="ZoneTexte 149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51" name="ZoneTexte 150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152" name="ZoneTexte 151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153" name="ZoneTexte 152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161925</xdr:rowOff>
    </xdr:to>
    <xdr:sp macro="" textlink="">
      <xdr:nvSpPr>
        <xdr:cNvPr id="154" name="ZoneTexte 153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51</xdr:row>
      <xdr:rowOff>123825</xdr:rowOff>
    </xdr:from>
    <xdr:to>
      <xdr:col>8</xdr:col>
      <xdr:colOff>390525</xdr:colOff>
      <xdr:row>52</xdr:row>
      <xdr:rowOff>161925</xdr:rowOff>
    </xdr:to>
    <xdr:sp macro="" textlink="">
      <xdr:nvSpPr>
        <xdr:cNvPr id="155" name="ZoneTexte 154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156" name="ZoneTexte 155"/>
        <xdr:cNvSpPr txBox="1"/>
      </xdr:nvSpPr>
      <xdr:spPr>
        <a:xfrm>
          <a:off x="2462742" y="8598958"/>
          <a:ext cx="467783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157" name="ZoneTexte 156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158" name="ZoneTexte 157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159" name="ZoneTexte 158"/>
        <xdr:cNvSpPr txBox="1"/>
      </xdr:nvSpPr>
      <xdr:spPr>
        <a:xfrm>
          <a:off x="2462742" y="89968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160" name="ZoneTexte 159"/>
        <xdr:cNvSpPr txBox="1"/>
      </xdr:nvSpPr>
      <xdr:spPr>
        <a:xfrm>
          <a:off x="2462742" y="91746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161925</xdr:rowOff>
    </xdr:to>
    <xdr:sp macro="" textlink="">
      <xdr:nvSpPr>
        <xdr:cNvPr id="161" name="ZoneTexte 160"/>
        <xdr:cNvSpPr txBox="1"/>
      </xdr:nvSpPr>
      <xdr:spPr>
        <a:xfrm>
          <a:off x="2462742" y="93524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51</xdr:row>
      <xdr:rowOff>123825</xdr:rowOff>
    </xdr:from>
    <xdr:to>
      <xdr:col>9</xdr:col>
      <xdr:colOff>390525</xdr:colOff>
      <xdr:row>52</xdr:row>
      <xdr:rowOff>161925</xdr:rowOff>
    </xdr:to>
    <xdr:sp macro="" textlink="">
      <xdr:nvSpPr>
        <xdr:cNvPr id="162" name="ZoneTexte 161"/>
        <xdr:cNvSpPr txBox="1"/>
      </xdr:nvSpPr>
      <xdr:spPr>
        <a:xfrm>
          <a:off x="2462742" y="95302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163" name="ZoneTexte 162"/>
        <xdr:cNvSpPr txBox="1"/>
      </xdr:nvSpPr>
      <xdr:spPr>
        <a:xfrm>
          <a:off x="1582208" y="8598958"/>
          <a:ext cx="518584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164" name="ZoneTexte 163"/>
        <xdr:cNvSpPr txBox="1"/>
      </xdr:nvSpPr>
      <xdr:spPr>
        <a:xfrm>
          <a:off x="1582208" y="88190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166" name="ZoneTexte 165"/>
        <xdr:cNvSpPr txBox="1"/>
      </xdr:nvSpPr>
      <xdr:spPr>
        <a:xfrm>
          <a:off x="1582208" y="89968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167" name="ZoneTexte 166"/>
        <xdr:cNvSpPr txBox="1"/>
      </xdr:nvSpPr>
      <xdr:spPr>
        <a:xfrm>
          <a:off x="1582208" y="91746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161925</xdr:rowOff>
    </xdr:to>
    <xdr:sp macro="" textlink="">
      <xdr:nvSpPr>
        <xdr:cNvPr id="168" name="ZoneTexte 167"/>
        <xdr:cNvSpPr txBox="1"/>
      </xdr:nvSpPr>
      <xdr:spPr>
        <a:xfrm>
          <a:off x="1582208" y="93524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51</xdr:row>
      <xdr:rowOff>123825</xdr:rowOff>
    </xdr:from>
    <xdr:to>
      <xdr:col>9</xdr:col>
      <xdr:colOff>390525</xdr:colOff>
      <xdr:row>52</xdr:row>
      <xdr:rowOff>161925</xdr:rowOff>
    </xdr:to>
    <xdr:sp macro="" textlink="">
      <xdr:nvSpPr>
        <xdr:cNvPr id="169" name="ZoneTexte 168"/>
        <xdr:cNvSpPr txBox="1"/>
      </xdr:nvSpPr>
      <xdr:spPr>
        <a:xfrm>
          <a:off x="1582208" y="9530292"/>
          <a:ext cx="51858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170" name="ZoneTexte 169"/>
        <xdr:cNvSpPr txBox="1"/>
      </xdr:nvSpPr>
      <xdr:spPr>
        <a:xfrm>
          <a:off x="2462742" y="8598958"/>
          <a:ext cx="467783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171" name="ZoneTexte 170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172" name="ZoneTexte 171"/>
        <xdr:cNvSpPr txBox="1"/>
      </xdr:nvSpPr>
      <xdr:spPr>
        <a:xfrm>
          <a:off x="2462742" y="88190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173" name="ZoneTexte 172"/>
        <xdr:cNvSpPr txBox="1"/>
      </xdr:nvSpPr>
      <xdr:spPr>
        <a:xfrm>
          <a:off x="2462742" y="89968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174" name="ZoneTexte 173"/>
        <xdr:cNvSpPr txBox="1"/>
      </xdr:nvSpPr>
      <xdr:spPr>
        <a:xfrm>
          <a:off x="2462742" y="91746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161925</xdr:rowOff>
    </xdr:to>
    <xdr:sp macro="" textlink="">
      <xdr:nvSpPr>
        <xdr:cNvPr id="175" name="ZoneTexte 174"/>
        <xdr:cNvSpPr txBox="1"/>
      </xdr:nvSpPr>
      <xdr:spPr>
        <a:xfrm>
          <a:off x="2462742" y="93524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51</xdr:row>
      <xdr:rowOff>123825</xdr:rowOff>
    </xdr:from>
    <xdr:to>
      <xdr:col>10</xdr:col>
      <xdr:colOff>390525</xdr:colOff>
      <xdr:row>52</xdr:row>
      <xdr:rowOff>161925</xdr:rowOff>
    </xdr:to>
    <xdr:sp macro="" textlink="">
      <xdr:nvSpPr>
        <xdr:cNvPr id="176" name="ZoneTexte 175"/>
        <xdr:cNvSpPr txBox="1"/>
      </xdr:nvSpPr>
      <xdr:spPr>
        <a:xfrm>
          <a:off x="2462742" y="9530292"/>
          <a:ext cx="46778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zoomScale="150" zoomScaleNormal="150" zoomScalePageLayoutView="150" workbookViewId="0">
      <selection activeCell="D26" sqref="D26"/>
    </sheetView>
  </sheetViews>
  <sheetFormatPr baseColWidth="10" defaultRowHeight="14" x14ac:dyDescent="0"/>
  <cols>
    <col min="1" max="1" width="10.83203125" style="150"/>
    <col min="2" max="6" width="9.5" style="150" customWidth="1"/>
    <col min="7" max="8" width="8.5" style="150" customWidth="1"/>
    <col min="9" max="9" width="9" style="150" customWidth="1"/>
    <col min="10" max="13" width="8.5" style="150" customWidth="1"/>
    <col min="14" max="14" width="9.1640625" style="150" customWidth="1"/>
    <col min="15" max="15" width="5.1640625" style="150" customWidth="1"/>
    <col min="16" max="16" width="14.6640625" style="150" customWidth="1"/>
    <col min="17" max="17" width="15.5" style="150" customWidth="1"/>
    <col min="18" max="18" width="15" style="150" customWidth="1"/>
    <col min="19" max="16384" width="10.83203125" style="150"/>
  </cols>
  <sheetData>
    <row r="1" spans="1:20" s="149" customFormat="1" ht="20">
      <c r="A1" s="148" t="s">
        <v>118</v>
      </c>
    </row>
    <row r="2" spans="1:20" ht="15">
      <c r="B2" s="151"/>
      <c r="J2" s="152"/>
      <c r="K2" s="152"/>
      <c r="L2" s="153"/>
      <c r="Q2" s="152"/>
      <c r="R2" s="152"/>
    </row>
    <row r="3" spans="1:20" ht="15">
      <c r="B3" s="151" t="s">
        <v>132</v>
      </c>
    </row>
    <row r="5" spans="1:20" ht="17">
      <c r="B5" s="154" t="s">
        <v>119</v>
      </c>
      <c r="C5" s="155" t="s">
        <v>159</v>
      </c>
      <c r="D5" s="154" t="s">
        <v>120</v>
      </c>
      <c r="E5" s="154" t="s">
        <v>121</v>
      </c>
      <c r="F5" s="155" t="s">
        <v>158</v>
      </c>
      <c r="G5" s="156" t="s">
        <v>129</v>
      </c>
      <c r="H5" s="156" t="s">
        <v>130</v>
      </c>
      <c r="I5" s="154" t="s">
        <v>122</v>
      </c>
      <c r="J5" s="154" t="s">
        <v>154</v>
      </c>
      <c r="K5" s="154" t="s">
        <v>157</v>
      </c>
      <c r="L5" s="154" t="s">
        <v>156</v>
      </c>
      <c r="M5" s="156" t="s">
        <v>17</v>
      </c>
      <c r="N5" s="156" t="s">
        <v>2</v>
      </c>
      <c r="O5" s="156" t="s">
        <v>153</v>
      </c>
      <c r="R5" s="157"/>
      <c r="S5" s="158"/>
      <c r="T5" s="158"/>
    </row>
    <row r="6" spans="1:20" ht="15">
      <c r="B6" s="113"/>
      <c r="C6" s="191"/>
      <c r="D6" s="113"/>
      <c r="E6" s="113"/>
      <c r="F6" s="192"/>
      <c r="G6" s="114"/>
      <c r="H6" s="120"/>
      <c r="I6" s="114"/>
      <c r="J6" s="113"/>
      <c r="K6" s="113"/>
      <c r="L6" s="113"/>
      <c r="M6" s="115"/>
      <c r="N6" s="113"/>
      <c r="O6" s="113"/>
      <c r="R6" s="159"/>
      <c r="S6" s="158"/>
      <c r="T6" s="158"/>
    </row>
    <row r="7" spans="1:20" s="160" customFormat="1" ht="15">
      <c r="B7" s="161"/>
      <c r="C7" s="162"/>
      <c r="D7" s="161"/>
      <c r="E7" s="161"/>
      <c r="F7" s="163"/>
      <c r="G7" s="164"/>
      <c r="H7" s="165"/>
      <c r="I7" s="164"/>
      <c r="J7" s="161"/>
      <c r="K7" s="161"/>
      <c r="L7" s="161"/>
      <c r="M7" s="166"/>
      <c r="N7" s="161"/>
      <c r="O7" s="161"/>
      <c r="R7" s="167"/>
      <c r="S7" s="168"/>
      <c r="T7" s="168"/>
    </row>
    <row r="8" spans="1:20" s="160" customFormat="1" ht="15">
      <c r="B8" s="169" t="s">
        <v>188</v>
      </c>
      <c r="C8" s="162"/>
      <c r="D8" s="161"/>
      <c r="E8" s="161"/>
      <c r="F8" s="163"/>
      <c r="G8" s="164"/>
      <c r="H8" s="165"/>
      <c r="I8" s="164"/>
      <c r="J8" s="161"/>
      <c r="K8" s="161"/>
      <c r="L8" s="161"/>
      <c r="M8" s="166"/>
      <c r="N8" s="161"/>
      <c r="O8" s="161"/>
      <c r="R8" s="167"/>
      <c r="S8" s="168"/>
      <c r="T8" s="168"/>
    </row>
    <row r="9" spans="1:20" ht="15"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2"/>
    </row>
    <row r="10" spans="1:20" ht="17">
      <c r="B10" s="173" t="s">
        <v>13</v>
      </c>
      <c r="C10" s="174" t="s">
        <v>160</v>
      </c>
      <c r="D10" s="175"/>
      <c r="E10" s="176"/>
      <c r="F10" s="170"/>
      <c r="G10" s="170"/>
      <c r="I10" s="170"/>
      <c r="J10" s="170"/>
      <c r="K10" s="170"/>
      <c r="L10" s="170"/>
    </row>
    <row r="11" spans="1:20" ht="15">
      <c r="B11" s="173">
        <v>1</v>
      </c>
      <c r="C11" s="191"/>
      <c r="D11" s="177"/>
      <c r="E11" s="178"/>
      <c r="F11" s="170"/>
      <c r="G11" s="170"/>
      <c r="I11" s="170"/>
      <c r="J11" s="170"/>
      <c r="K11" s="170"/>
      <c r="L11" s="170"/>
    </row>
    <row r="12" spans="1:20" ht="15">
      <c r="B12" s="173">
        <v>2</v>
      </c>
      <c r="C12" s="191"/>
      <c r="D12" s="177"/>
      <c r="E12" s="178"/>
      <c r="F12" s="170"/>
      <c r="G12" s="170"/>
      <c r="H12" s="170"/>
      <c r="I12" s="170"/>
      <c r="J12" s="170"/>
      <c r="K12" s="170"/>
      <c r="L12" s="170"/>
    </row>
    <row r="13" spans="1:20" ht="15">
      <c r="B13" s="173">
        <v>3</v>
      </c>
      <c r="C13" s="191"/>
      <c r="D13" s="177"/>
      <c r="E13" s="178"/>
      <c r="F13" s="170"/>
      <c r="G13" s="170"/>
      <c r="H13" s="170"/>
      <c r="I13" s="170"/>
      <c r="J13" s="170"/>
      <c r="K13" s="170"/>
      <c r="L13" s="170"/>
    </row>
    <row r="14" spans="1:20" ht="15">
      <c r="B14" s="173">
        <v>4</v>
      </c>
      <c r="C14" s="191"/>
      <c r="D14" s="177"/>
      <c r="E14" s="178"/>
      <c r="F14" s="170"/>
      <c r="G14" s="170"/>
      <c r="H14" s="170"/>
      <c r="I14" s="170"/>
      <c r="J14" s="170"/>
      <c r="K14" s="170"/>
      <c r="L14" s="170"/>
    </row>
    <row r="15" spans="1:20" ht="15">
      <c r="B15" s="173">
        <v>5</v>
      </c>
      <c r="C15" s="191"/>
      <c r="D15" s="177"/>
      <c r="E15" s="178"/>
      <c r="F15" s="170"/>
      <c r="G15" s="170"/>
      <c r="H15" s="170"/>
      <c r="I15" s="170"/>
      <c r="J15" s="170"/>
      <c r="K15" s="170"/>
      <c r="L15" s="170"/>
    </row>
    <row r="16" spans="1:20" ht="15">
      <c r="B16" s="173">
        <v>6</v>
      </c>
      <c r="C16" s="191"/>
      <c r="D16" s="177"/>
      <c r="E16" s="178"/>
      <c r="F16" s="170"/>
      <c r="G16" s="170"/>
      <c r="H16" s="170"/>
      <c r="I16" s="170"/>
      <c r="J16" s="170"/>
      <c r="K16" s="170"/>
      <c r="L16" s="170"/>
    </row>
    <row r="17" spans="2:12" ht="15">
      <c r="B17" s="155">
        <v>7</v>
      </c>
      <c r="C17" s="191"/>
      <c r="D17" s="177"/>
      <c r="E17" s="178"/>
      <c r="F17" s="170"/>
      <c r="G17" s="170"/>
      <c r="H17" s="170"/>
      <c r="I17" s="170"/>
      <c r="J17" s="170"/>
      <c r="K17" s="170"/>
      <c r="L17" s="170"/>
    </row>
    <row r="18" spans="2:12" ht="15">
      <c r="B18" s="173">
        <v>8</v>
      </c>
      <c r="C18" s="191"/>
      <c r="D18" s="177"/>
      <c r="E18" s="178"/>
      <c r="F18" s="170"/>
      <c r="G18" s="170"/>
      <c r="H18" s="170"/>
      <c r="I18" s="170"/>
      <c r="J18" s="170"/>
      <c r="K18" s="170"/>
      <c r="L18" s="170"/>
    </row>
    <row r="19" spans="2:12" ht="15">
      <c r="B19" s="173">
        <v>9</v>
      </c>
      <c r="C19" s="191"/>
      <c r="D19" s="177"/>
      <c r="E19" s="178"/>
      <c r="F19" s="170"/>
      <c r="G19" s="170"/>
      <c r="H19" s="170"/>
      <c r="I19" s="170"/>
      <c r="J19" s="170"/>
      <c r="K19" s="170"/>
      <c r="L19" s="170"/>
    </row>
    <row r="20" spans="2:12" ht="15"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</row>
    <row r="21" spans="2:12" ht="15"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</row>
    <row r="22" spans="2:12" ht="15"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</row>
    <row r="23" spans="2:12" ht="15"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</row>
    <row r="24" spans="2:12" ht="15">
      <c r="B24" s="151" t="s">
        <v>133</v>
      </c>
    </row>
    <row r="26" spans="2:12">
      <c r="C26" s="179" t="s">
        <v>155</v>
      </c>
      <c r="D26" s="193"/>
    </row>
    <row r="27" spans="2:12">
      <c r="C27" s="180" t="s">
        <v>123</v>
      </c>
      <c r="D27" s="181" t="e">
        <f>D26/(H6)</f>
        <v>#DIV/0!</v>
      </c>
    </row>
    <row r="28" spans="2:12" ht="17">
      <c r="C28" s="182" t="s">
        <v>124</v>
      </c>
      <c r="D28" s="181">
        <f>F6*180/PI()</f>
        <v>0</v>
      </c>
    </row>
    <row r="29" spans="2:12">
      <c r="C29" s="183" t="s">
        <v>125</v>
      </c>
      <c r="D29" s="181" t="e">
        <f>J6/(H6)</f>
        <v>#DIV/0!</v>
      </c>
    </row>
    <row r="30" spans="2:12">
      <c r="C30" s="180" t="s">
        <v>126</v>
      </c>
      <c r="D30" s="181">
        <f>500*SIN(F6)</f>
        <v>0</v>
      </c>
    </row>
    <row r="31" spans="2:12" ht="17">
      <c r="B31" s="184" t="s">
        <v>127</v>
      </c>
      <c r="C31" s="185" t="s">
        <v>128</v>
      </c>
      <c r="D31" s="181" t="e">
        <f>0.04*(H6)*N6/M6</f>
        <v>#DIV/0!</v>
      </c>
    </row>
    <row r="36" spans="2:10" ht="15">
      <c r="B36" s="151" t="s">
        <v>135</v>
      </c>
    </row>
    <row r="38" spans="2:10" ht="18">
      <c r="B38" s="186" t="s">
        <v>134</v>
      </c>
      <c r="C38" s="187" t="e">
        <f>'résistance_section (4)'!B36</f>
        <v>#DIV/0!</v>
      </c>
      <c r="D38" s="188" t="s">
        <v>80</v>
      </c>
      <c r="F38" s="189"/>
      <c r="H38" s="189"/>
    </row>
    <row r="39" spans="2:10">
      <c r="E39" s="189"/>
      <c r="F39" s="189"/>
      <c r="G39" s="189"/>
    </row>
    <row r="40" spans="2:10">
      <c r="D40" s="189"/>
      <c r="E40" s="189"/>
    </row>
    <row r="41" spans="2:10">
      <c r="J41" s="189"/>
    </row>
    <row r="61" spans="5:5">
      <c r="E61" s="190"/>
    </row>
  </sheetData>
  <sheetProtection password="DDF1" sheet="1" objects="1" scenarios="1" selectLockedCells="1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topLeftCell="A21" zoomScale="150" zoomScaleNormal="150" zoomScalePageLayoutView="150" workbookViewId="0">
      <selection activeCell="H48" sqref="H48:O62"/>
    </sheetView>
  </sheetViews>
  <sheetFormatPr baseColWidth="10" defaultRowHeight="14" x14ac:dyDescent="0"/>
  <cols>
    <col min="2" max="2" width="11.5" bestFit="1" customWidth="1"/>
    <col min="3" max="3" width="7.6640625" bestFit="1" customWidth="1"/>
    <col min="4" max="4" width="8.33203125" bestFit="1" customWidth="1"/>
    <col min="5" max="5" width="11.1640625" customWidth="1"/>
    <col min="6" max="6" width="8.5" customWidth="1"/>
    <col min="7" max="7" width="10.33203125" bestFit="1" customWidth="1"/>
    <col min="8" max="8" width="7.5" bestFit="1" customWidth="1"/>
    <col min="11" max="11" width="14.83203125" bestFit="1" customWidth="1"/>
    <col min="12" max="12" width="17" customWidth="1"/>
    <col min="13" max="13" width="17" bestFit="1" customWidth="1"/>
    <col min="14" max="15" width="14.83203125" bestFit="1" customWidth="1"/>
    <col min="16" max="16" width="16.1640625" bestFit="1" customWidth="1"/>
    <col min="17" max="17" width="17" bestFit="1" customWidth="1"/>
    <col min="18" max="18" width="14.83203125" bestFit="1" customWidth="1"/>
  </cols>
  <sheetData>
    <row r="2" spans="1:18" ht="17">
      <c r="B2" s="2" t="s">
        <v>21</v>
      </c>
      <c r="C2" s="2" t="s">
        <v>18</v>
      </c>
      <c r="D2" s="2" t="s">
        <v>0</v>
      </c>
      <c r="E2" s="2" t="s">
        <v>2</v>
      </c>
      <c r="F2" s="8"/>
      <c r="G2" s="8"/>
      <c r="H2" s="8"/>
      <c r="I2" s="8"/>
    </row>
    <row r="3" spans="1:18">
      <c r="B3" s="7">
        <f>(données!C30+données!C31+données!C32+données!C33/2)*2</f>
        <v>0</v>
      </c>
      <c r="C3" s="7">
        <f>largeur_eff_semelle!B5</f>
        <v>0</v>
      </c>
      <c r="D3" s="2">
        <f>données!E3</f>
        <v>0</v>
      </c>
      <c r="E3" s="7">
        <f>données!H3</f>
        <v>0</v>
      </c>
      <c r="F3" s="8"/>
      <c r="G3" s="8"/>
      <c r="H3" s="8"/>
      <c r="I3" s="8"/>
    </row>
    <row r="4" spans="1:18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7">
      <c r="B5" s="13" t="s">
        <v>5</v>
      </c>
      <c r="C5" s="13" t="s">
        <v>39</v>
      </c>
      <c r="D5" s="13" t="s">
        <v>42</v>
      </c>
      <c r="E5" s="13" t="s">
        <v>40</v>
      </c>
      <c r="F5" s="13" t="s">
        <v>43</v>
      </c>
      <c r="G5" s="13" t="s">
        <v>41</v>
      </c>
      <c r="H5" s="13" t="s">
        <v>7</v>
      </c>
      <c r="I5" s="13" t="s">
        <v>44</v>
      </c>
      <c r="J5" s="8"/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13" t="s">
        <v>36</v>
      </c>
      <c r="R5" s="13"/>
    </row>
    <row r="6" spans="1:18" ht="17">
      <c r="A6" s="4"/>
      <c r="B6" s="13" t="s">
        <v>68</v>
      </c>
      <c r="C6" s="14">
        <f>15*D3-données!I19</f>
        <v>0</v>
      </c>
      <c r="D6" s="14">
        <f>C6*$D$3</f>
        <v>0</v>
      </c>
      <c r="E6" s="14">
        <v>0</v>
      </c>
      <c r="F6" s="14">
        <f>D6*E6</f>
        <v>0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37</v>
      </c>
      <c r="L6" s="2"/>
      <c r="M6" s="2" t="s">
        <v>38</v>
      </c>
      <c r="N6" s="2"/>
      <c r="O6" s="2" t="s">
        <v>82</v>
      </c>
      <c r="P6" s="2"/>
      <c r="Q6" s="2" t="s">
        <v>83</v>
      </c>
      <c r="R6" s="2"/>
    </row>
    <row r="7" spans="1:18">
      <c r="A7" s="4"/>
      <c r="B7" s="13">
        <v>2</v>
      </c>
      <c r="C7" s="14">
        <f>données!C33</f>
        <v>0</v>
      </c>
      <c r="D7" s="14">
        <f t="shared" ref="D7:D15" si="0">C7*$D$3</f>
        <v>0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>
      <c r="A8" s="4"/>
      <c r="B8" s="13">
        <v>3</v>
      </c>
      <c r="C8" s="14">
        <f>données!C32</f>
        <v>0</v>
      </c>
      <c r="D8" s="14">
        <f t="shared" si="0"/>
        <v>0</v>
      </c>
      <c r="E8" s="42">
        <f>données!N3/2</f>
        <v>0</v>
      </c>
      <c r="F8" s="14">
        <f t="shared" si="1"/>
        <v>0</v>
      </c>
      <c r="G8" s="15" t="e">
        <f t="shared" si="2"/>
        <v>#DIV/0!</v>
      </c>
      <c r="H8" s="15">
        <f>données!M32</f>
        <v>0</v>
      </c>
      <c r="I8" s="7" t="e">
        <f>D8*H8^2/12+D8*G8^2</f>
        <v>#DIV/0!</v>
      </c>
      <c r="J8" s="8"/>
      <c r="K8" s="8"/>
      <c r="L8" s="8"/>
    </row>
    <row r="9" spans="1:18">
      <c r="A9" s="4"/>
      <c r="B9" s="13">
        <v>4</v>
      </c>
      <c r="C9" s="14">
        <f>données!C31</f>
        <v>0</v>
      </c>
      <c r="D9" s="14">
        <f t="shared" si="0"/>
        <v>0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>
      <c r="A10" s="4"/>
      <c r="B10" s="13">
        <v>5</v>
      </c>
      <c r="C10" s="14">
        <f>données!C30</f>
        <v>0</v>
      </c>
      <c r="D10" s="14">
        <f t="shared" si="0"/>
        <v>0</v>
      </c>
      <c r="E10" s="42">
        <f>données!N3</f>
        <v>0</v>
      </c>
      <c r="F10" s="14">
        <f t="shared" si="1"/>
        <v>0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14</v>
      </c>
      <c r="L10" s="8" t="e">
        <f>F16/#REF!</f>
        <v>#DIV/0!</v>
      </c>
    </row>
    <row r="11" spans="1:18">
      <c r="A11" s="4"/>
      <c r="B11" s="13">
        <v>6</v>
      </c>
      <c r="C11" s="14">
        <f>C10</f>
        <v>0</v>
      </c>
      <c r="D11" s="14">
        <f t="shared" si="0"/>
        <v>0</v>
      </c>
      <c r="E11" s="16">
        <f>E10</f>
        <v>0</v>
      </c>
      <c r="F11" s="14">
        <f t="shared" si="1"/>
        <v>0</v>
      </c>
      <c r="G11" s="15" t="e">
        <f t="shared" si="2"/>
        <v>#DIV/0!</v>
      </c>
      <c r="H11" s="15">
        <f>H10</f>
        <v>0</v>
      </c>
      <c r="I11" s="54" t="e">
        <f>I10</f>
        <v>#DIV/0!</v>
      </c>
      <c r="J11" s="8"/>
    </row>
    <row r="12" spans="1:18">
      <c r="A12" s="4"/>
      <c r="B12" s="13">
        <v>7</v>
      </c>
      <c r="C12" s="14">
        <f>C9</f>
        <v>0</v>
      </c>
      <c r="D12" s="14">
        <f t="shared" si="0"/>
        <v>0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99" t="e">
        <f>I9</f>
        <v>#DIV/0!</v>
      </c>
      <c r="J12" s="8"/>
    </row>
    <row r="13" spans="1:18">
      <c r="A13" s="4"/>
      <c r="B13" s="13">
        <v>8</v>
      </c>
      <c r="C13" s="14">
        <f>C8</f>
        <v>0</v>
      </c>
      <c r="D13" s="14">
        <f t="shared" si="0"/>
        <v>0</v>
      </c>
      <c r="E13" s="14">
        <f>E8</f>
        <v>0</v>
      </c>
      <c r="F13" s="14">
        <f t="shared" si="1"/>
        <v>0</v>
      </c>
      <c r="G13" s="15" t="e">
        <f t="shared" si="2"/>
        <v>#DIV/0!</v>
      </c>
      <c r="H13" s="14">
        <f>H8</f>
        <v>0</v>
      </c>
      <c r="I13" s="100" t="e">
        <f>I8</f>
        <v>#DIV/0!</v>
      </c>
      <c r="J13" s="8"/>
    </row>
    <row r="14" spans="1:18">
      <c r="A14" s="4"/>
      <c r="B14" s="13">
        <v>9</v>
      </c>
      <c r="C14" s="14">
        <f>C7</f>
        <v>0</v>
      </c>
      <c r="D14" s="14">
        <f t="shared" si="0"/>
        <v>0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01" t="e">
        <f>I7</f>
        <v>#DIV/0!</v>
      </c>
      <c r="J14" s="8"/>
    </row>
    <row r="15" spans="1:18">
      <c r="B15" s="13" t="s">
        <v>69</v>
      </c>
      <c r="C15" s="14">
        <f>15*D3-données!I19</f>
        <v>0</v>
      </c>
      <c r="D15" s="14">
        <f t="shared" si="0"/>
        <v>0</v>
      </c>
      <c r="E15" s="14">
        <v>0</v>
      </c>
      <c r="F15" s="14">
        <f t="shared" si="1"/>
        <v>0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>
      <c r="B16" s="25" t="s">
        <v>6</v>
      </c>
      <c r="C16" s="16"/>
      <c r="D16" s="26">
        <f>SUM(D6:D15)</f>
        <v>0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>
      <c r="B17" s="18"/>
      <c r="C17" s="17"/>
      <c r="D17" s="17"/>
      <c r="E17" s="17"/>
      <c r="F17" s="17"/>
      <c r="G17" s="17"/>
      <c r="H17" s="17"/>
      <c r="I17" s="108"/>
      <c r="J17" s="8"/>
    </row>
    <row r="18" spans="1:18" ht="17">
      <c r="B18" s="13" t="s">
        <v>5</v>
      </c>
      <c r="C18" s="13" t="s">
        <v>39</v>
      </c>
      <c r="D18" s="13" t="s">
        <v>42</v>
      </c>
      <c r="E18" s="13"/>
      <c r="F18" s="13"/>
      <c r="G18" s="13"/>
      <c r="H18" s="13"/>
      <c r="I18" s="13"/>
      <c r="J18" s="8"/>
      <c r="K18" s="13" t="s">
        <v>30</v>
      </c>
      <c r="L18" s="13" t="s">
        <v>31</v>
      </c>
      <c r="M18" s="13" t="s">
        <v>32</v>
      </c>
      <c r="N18" s="13" t="s">
        <v>33</v>
      </c>
      <c r="O18" s="13" t="s">
        <v>34</v>
      </c>
      <c r="P18" s="13" t="s">
        <v>35</v>
      </c>
      <c r="Q18" s="13" t="s">
        <v>36</v>
      </c>
      <c r="R18" s="13"/>
    </row>
    <row r="19" spans="1:18" ht="17">
      <c r="A19" s="4"/>
      <c r="B19" s="13" t="s">
        <v>68</v>
      </c>
      <c r="C19" s="14" t="e">
        <f>'largeur_eff_semelle (2)'!O5-données!I19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37</v>
      </c>
      <c r="L19" s="2"/>
      <c r="M19" s="2" t="s">
        <v>38</v>
      </c>
      <c r="N19" s="2"/>
      <c r="O19" s="2" t="s">
        <v>82</v>
      </c>
      <c r="P19" s="2"/>
      <c r="Q19" s="2" t="s">
        <v>83</v>
      </c>
      <c r="R19" s="2"/>
    </row>
    <row r="20" spans="1:18">
      <c r="A20" s="4"/>
      <c r="B20" s="13">
        <v>2</v>
      </c>
      <c r="C20" s="14">
        <f>C7</f>
        <v>0</v>
      </c>
      <c r="D20" s="14">
        <f t="shared" ref="D20:D28" si="3">C20*$D$3</f>
        <v>0</v>
      </c>
      <c r="E20" s="14"/>
      <c r="F20" s="14"/>
      <c r="G20" s="15"/>
      <c r="H20" s="15"/>
      <c r="I20" s="6"/>
      <c r="J20" s="8"/>
      <c r="K20" s="8"/>
      <c r="L20" s="8"/>
    </row>
    <row r="21" spans="1:18">
      <c r="A21" s="4"/>
      <c r="B21" s="13">
        <v>3</v>
      </c>
      <c r="C21" s="14">
        <f t="shared" ref="C21:C27" si="4">C8</f>
        <v>0</v>
      </c>
      <c r="D21" s="14">
        <f t="shared" si="3"/>
        <v>0</v>
      </c>
      <c r="E21" s="42"/>
      <c r="F21" s="14"/>
      <c r="G21" s="15"/>
      <c r="H21" s="15"/>
      <c r="I21" s="7"/>
      <c r="J21" s="8"/>
      <c r="K21" s="8"/>
      <c r="L21" s="8"/>
    </row>
    <row r="22" spans="1:18">
      <c r="A22" s="4"/>
      <c r="B22" s="13">
        <v>4</v>
      </c>
      <c r="C22" s="14">
        <f t="shared" si="4"/>
        <v>0</v>
      </c>
      <c r="D22" s="14">
        <f t="shared" si="3"/>
        <v>0</v>
      </c>
      <c r="E22" s="16"/>
      <c r="F22" s="14"/>
      <c r="G22" s="15"/>
      <c r="H22" s="15"/>
      <c r="I22" s="6"/>
      <c r="J22" s="8"/>
      <c r="K22" s="8"/>
      <c r="L22" s="8"/>
    </row>
    <row r="23" spans="1:18">
      <c r="A23" s="4"/>
      <c r="B23" s="13">
        <v>5</v>
      </c>
      <c r="C23" s="14">
        <f t="shared" si="4"/>
        <v>0</v>
      </c>
      <c r="D23" s="14">
        <f t="shared" si="3"/>
        <v>0</v>
      </c>
      <c r="E23" s="42"/>
      <c r="F23" s="14"/>
      <c r="G23" s="15"/>
      <c r="H23" s="15"/>
      <c r="I23" s="7"/>
      <c r="J23" s="8"/>
      <c r="K23" s="8" t="s">
        <v>14</v>
      </c>
      <c r="L23" s="8" t="e">
        <f>F29/#REF!</f>
        <v>#REF!</v>
      </c>
    </row>
    <row r="24" spans="1:18">
      <c r="A24" s="4"/>
      <c r="B24" s="13">
        <v>6</v>
      </c>
      <c r="C24" s="14">
        <f t="shared" si="4"/>
        <v>0</v>
      </c>
      <c r="D24" s="14">
        <f t="shared" si="3"/>
        <v>0</v>
      </c>
      <c r="E24" s="16"/>
      <c r="F24" s="14"/>
      <c r="G24" s="15"/>
      <c r="H24" s="15"/>
      <c r="I24" s="54"/>
      <c r="J24" s="8"/>
    </row>
    <row r="25" spans="1:18">
      <c r="A25" s="4"/>
      <c r="B25" s="13">
        <v>7</v>
      </c>
      <c r="C25" s="14">
        <f t="shared" si="4"/>
        <v>0</v>
      </c>
      <c r="D25" s="14">
        <f t="shared" si="3"/>
        <v>0</v>
      </c>
      <c r="E25" s="14"/>
      <c r="F25" s="14"/>
      <c r="G25" s="15"/>
      <c r="H25" s="14"/>
      <c r="I25" s="99"/>
      <c r="J25" s="8"/>
    </row>
    <row r="26" spans="1:18">
      <c r="A26" s="4"/>
      <c r="B26" s="13">
        <v>8</v>
      </c>
      <c r="C26" s="14">
        <f t="shared" si="4"/>
        <v>0</v>
      </c>
      <c r="D26" s="14">
        <f t="shared" si="3"/>
        <v>0</v>
      </c>
      <c r="E26" s="14"/>
      <c r="F26" s="14"/>
      <c r="G26" s="15"/>
      <c r="H26" s="14"/>
      <c r="I26" s="100"/>
      <c r="J26" s="8"/>
    </row>
    <row r="27" spans="1:18">
      <c r="A27" s="4"/>
      <c r="B27" s="13">
        <v>9</v>
      </c>
      <c r="C27" s="14">
        <f t="shared" si="4"/>
        <v>0</v>
      </c>
      <c r="D27" s="14">
        <f t="shared" si="3"/>
        <v>0</v>
      </c>
      <c r="E27" s="14"/>
      <c r="F27" s="14"/>
      <c r="G27" s="15"/>
      <c r="H27" s="14"/>
      <c r="I27" s="101"/>
      <c r="J27" s="8"/>
    </row>
    <row r="28" spans="1:18">
      <c r="B28" s="13" t="s">
        <v>69</v>
      </c>
      <c r="C28" s="14" t="e">
        <f>'largeur_eff_semelle (2)'!O5-données!I19</f>
        <v>#DIV/0!</v>
      </c>
      <c r="D28" s="14" t="e">
        <f t="shared" si="3"/>
        <v>#DIV/0!</v>
      </c>
      <c r="E28" s="14"/>
      <c r="F28" s="14"/>
      <c r="G28" s="15"/>
      <c r="H28" s="15"/>
      <c r="I28" s="57"/>
      <c r="J28" s="8"/>
    </row>
    <row r="29" spans="1:18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>
      <c r="B30" s="18"/>
      <c r="C30" s="17"/>
      <c r="D30" s="17"/>
      <c r="E30" s="17"/>
      <c r="F30" s="17"/>
      <c r="G30" s="17"/>
      <c r="H30" s="17"/>
      <c r="I30" s="108"/>
      <c r="J30" s="8"/>
    </row>
    <row r="31" spans="1:18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7">
      <c r="B32" s="2" t="s">
        <v>91</v>
      </c>
      <c r="C32" s="2"/>
      <c r="D32" s="2" t="s">
        <v>22</v>
      </c>
      <c r="E32" s="2" t="s">
        <v>23</v>
      </c>
      <c r="F32" s="2" t="s">
        <v>24</v>
      </c>
      <c r="G32" s="2" t="s">
        <v>25</v>
      </c>
      <c r="H32" s="2" t="s">
        <v>87</v>
      </c>
      <c r="I32" s="2" t="s">
        <v>26</v>
      </c>
      <c r="J32" s="8"/>
      <c r="K32" s="8"/>
      <c r="L32" s="8"/>
    </row>
    <row r="33" spans="2:12">
      <c r="B33" s="7">
        <f>2*C3+B3</f>
        <v>0</v>
      </c>
      <c r="C33" s="7"/>
      <c r="D33" s="7">
        <f>data!J6</f>
        <v>0</v>
      </c>
      <c r="E33" s="7">
        <f>données!M3</f>
        <v>0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58" t="e">
        <f>IF(G33&gt;2,H33,(H33-(H33-1)*(2*F33/E33-(F33/E33)^2)))</f>
        <v>#DIV/0!</v>
      </c>
      <c r="J33" s="8"/>
      <c r="K33" s="8"/>
      <c r="L33" s="8"/>
    </row>
    <row r="34" spans="2:1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7">
      <c r="B35" s="2" t="s">
        <v>45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7">
      <c r="B38" s="2" t="s">
        <v>17</v>
      </c>
      <c r="C38" s="2" t="s">
        <v>9</v>
      </c>
      <c r="D38" s="2" t="s">
        <v>88</v>
      </c>
      <c r="E38" s="2" t="s">
        <v>89</v>
      </c>
    </row>
    <row r="39" spans="2:12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7">
      <c r="B41" s="7" t="s">
        <v>10</v>
      </c>
      <c r="C41" s="13" t="s">
        <v>51</v>
      </c>
      <c r="E41" s="2" t="s">
        <v>109</v>
      </c>
    </row>
    <row r="42" spans="2:12">
      <c r="B42" s="59" t="e">
        <f>E39</f>
        <v>#DIV/0!</v>
      </c>
      <c r="C42" s="14" t="e">
        <f>B42*données!E3*B39/'largeur_eff_semelle (2)'!K5/'largeur_eff_semelle (2)'!J5</f>
        <v>#DIV/0!</v>
      </c>
      <c r="E42" t="e">
        <f>B39/'largeur_eff_semelle (2)'!K5/'largeur_eff_semelle (2)'!J5</f>
        <v>#DIV/0!</v>
      </c>
      <c r="G42" s="65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"/>
  <sheetViews>
    <sheetView topLeftCell="J3" zoomScale="150" zoomScaleNormal="150" zoomScalePageLayoutView="150" workbookViewId="0">
      <selection activeCell="H48" sqref="H48:O62"/>
    </sheetView>
  </sheetViews>
  <sheetFormatPr baseColWidth="10" defaultRowHeight="14" x14ac:dyDescent="0"/>
  <cols>
    <col min="2" max="2" width="5.5" bestFit="1" customWidth="1"/>
    <col min="3" max="3" width="4.5" bestFit="1" customWidth="1"/>
    <col min="4" max="4" width="11.33203125" bestFit="1" customWidth="1"/>
    <col min="5" max="5" width="10.33203125" bestFit="1" customWidth="1"/>
    <col min="6" max="6" width="4.5" bestFit="1" customWidth="1"/>
    <col min="7" max="7" width="6.83203125" customWidth="1"/>
    <col min="8" max="8" width="4.5" customWidth="1"/>
    <col min="9" max="9" width="5.5" bestFit="1" customWidth="1"/>
    <col min="10" max="10" width="7.1640625" customWidth="1"/>
    <col min="11" max="11" width="5.5" customWidth="1"/>
    <col min="12" max="12" width="7.6640625" customWidth="1"/>
    <col min="13" max="13" width="5.5" bestFit="1" customWidth="1"/>
    <col min="14" max="14" width="7.83203125" bestFit="1" customWidth="1"/>
    <col min="15" max="15" width="8.5" bestFit="1" customWidth="1"/>
  </cols>
  <sheetData>
    <row r="2" spans="2: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7">
      <c r="B4" s="2" t="s">
        <v>18</v>
      </c>
      <c r="C4" s="2" t="s">
        <v>0</v>
      </c>
      <c r="D4" s="2" t="s">
        <v>17</v>
      </c>
      <c r="E4" s="2" t="s">
        <v>2</v>
      </c>
      <c r="F4" s="2" t="s">
        <v>1</v>
      </c>
      <c r="G4" s="41" t="s">
        <v>67</v>
      </c>
      <c r="H4" s="38" t="s">
        <v>63</v>
      </c>
      <c r="I4" s="2" t="s">
        <v>19</v>
      </c>
      <c r="J4" s="39" t="s">
        <v>65</v>
      </c>
      <c r="K4" s="40" t="s">
        <v>66</v>
      </c>
      <c r="L4" s="2" t="s">
        <v>64</v>
      </c>
      <c r="M4" s="2" t="s">
        <v>3</v>
      </c>
      <c r="N4" s="10" t="s">
        <v>20</v>
      </c>
      <c r="O4" s="10" t="s">
        <v>107</v>
      </c>
    </row>
    <row r="5" spans="2:15">
      <c r="B5" s="7">
        <f>données!$C$8</f>
        <v>0</v>
      </c>
      <c r="C5" s="7">
        <f>données!$E$3</f>
        <v>0</v>
      </c>
      <c r="D5" s="36">
        <f>données!$G$3</f>
        <v>0</v>
      </c>
      <c r="E5" s="7">
        <f>données!H$3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'raidisseur (2)'!B42*D5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56" t="e">
        <f>N5/2</f>
        <v>#DIV/0!</v>
      </c>
    </row>
    <row r="6" spans="2:15">
      <c r="B6" s="8"/>
      <c r="C6" s="8"/>
      <c r="D6" s="3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orkbookViewId="0">
      <selection activeCell="H48" sqref="H48:O62"/>
    </sheetView>
  </sheetViews>
  <sheetFormatPr baseColWidth="10" defaultRowHeight="14" x14ac:dyDescent="0"/>
  <cols>
    <col min="2" max="2" width="11.5" bestFit="1" customWidth="1"/>
    <col min="3" max="3" width="7.6640625" bestFit="1" customWidth="1"/>
    <col min="4" max="4" width="8.33203125" bestFit="1" customWidth="1"/>
    <col min="5" max="5" width="11.1640625" customWidth="1"/>
    <col min="6" max="6" width="8.5" customWidth="1"/>
    <col min="7" max="7" width="10.33203125" bestFit="1" customWidth="1"/>
    <col min="8" max="8" width="7.5" bestFit="1" customWidth="1"/>
    <col min="11" max="11" width="14.83203125" bestFit="1" customWidth="1"/>
    <col min="12" max="12" width="17" customWidth="1"/>
    <col min="13" max="13" width="17" bestFit="1" customWidth="1"/>
    <col min="14" max="15" width="14.83203125" bestFit="1" customWidth="1"/>
    <col min="16" max="16" width="16.1640625" bestFit="1" customWidth="1"/>
    <col min="17" max="17" width="17" bestFit="1" customWidth="1"/>
    <col min="18" max="18" width="14.83203125" bestFit="1" customWidth="1"/>
  </cols>
  <sheetData>
    <row r="2" spans="1:18" ht="17">
      <c r="B2" s="2" t="s">
        <v>21</v>
      </c>
      <c r="C2" s="2" t="s">
        <v>18</v>
      </c>
      <c r="D2" s="2" t="s">
        <v>0</v>
      </c>
      <c r="E2" s="2" t="s">
        <v>2</v>
      </c>
      <c r="F2" s="8"/>
      <c r="G2" s="8"/>
      <c r="H2" s="8"/>
      <c r="I2" s="8"/>
    </row>
    <row r="3" spans="1:18">
      <c r="B3" s="7">
        <f>(données!C30+données!C31+données!C32+données!C33/2)*2</f>
        <v>0</v>
      </c>
      <c r="C3" s="7">
        <f>largeur_eff_semelle!B5</f>
        <v>0</v>
      </c>
      <c r="D3" s="2">
        <f>données!E3</f>
        <v>0</v>
      </c>
      <c r="E3" s="7">
        <f>données!H3</f>
        <v>0</v>
      </c>
      <c r="F3" s="8"/>
      <c r="G3" s="8"/>
      <c r="H3" s="8"/>
      <c r="I3" s="8"/>
    </row>
    <row r="4" spans="1:18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7">
      <c r="B5" s="13" t="s">
        <v>5</v>
      </c>
      <c r="C5" s="13" t="s">
        <v>39</v>
      </c>
      <c r="D5" s="13" t="s">
        <v>42</v>
      </c>
      <c r="E5" s="13" t="s">
        <v>40</v>
      </c>
      <c r="F5" s="13" t="s">
        <v>43</v>
      </c>
      <c r="G5" s="13" t="s">
        <v>41</v>
      </c>
      <c r="H5" s="13" t="s">
        <v>7</v>
      </c>
      <c r="I5" s="13" t="s">
        <v>44</v>
      </c>
      <c r="J5" s="8"/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13" t="s">
        <v>36</v>
      </c>
      <c r="R5" s="13"/>
    </row>
    <row r="6" spans="1:18" ht="17">
      <c r="A6" s="4"/>
      <c r="B6" s="13" t="s">
        <v>68</v>
      </c>
      <c r="C6" s="14">
        <f>15*D3-données!I19</f>
        <v>0</v>
      </c>
      <c r="D6" s="14">
        <f>C6*$D$3</f>
        <v>0</v>
      </c>
      <c r="E6" s="14">
        <v>0</v>
      </c>
      <c r="F6" s="14">
        <f>D6*E6</f>
        <v>0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37</v>
      </c>
      <c r="L6" s="2"/>
      <c r="M6" s="2" t="s">
        <v>38</v>
      </c>
      <c r="N6" s="2"/>
      <c r="O6" s="2" t="s">
        <v>82</v>
      </c>
      <c r="P6" s="2"/>
      <c r="Q6" s="2" t="s">
        <v>83</v>
      </c>
      <c r="R6" s="2"/>
    </row>
    <row r="7" spans="1:18">
      <c r="A7" s="4"/>
      <c r="B7" s="13">
        <v>2</v>
      </c>
      <c r="C7" s="14">
        <f>données!C33</f>
        <v>0</v>
      </c>
      <c r="D7" s="14">
        <f t="shared" ref="D7:D15" si="0">C7*$D$3</f>
        <v>0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>
      <c r="A8" s="4"/>
      <c r="B8" s="13">
        <v>3</v>
      </c>
      <c r="C8" s="14">
        <f>données!C32</f>
        <v>0</v>
      </c>
      <c r="D8" s="14">
        <f t="shared" si="0"/>
        <v>0</v>
      </c>
      <c r="E8" s="42">
        <f>données!N3/2</f>
        <v>0</v>
      </c>
      <c r="F8" s="14">
        <f t="shared" si="1"/>
        <v>0</v>
      </c>
      <c r="G8" s="15" t="e">
        <f t="shared" si="2"/>
        <v>#DIV/0!</v>
      </c>
      <c r="H8" s="15">
        <f>données!M32</f>
        <v>0</v>
      </c>
      <c r="I8" s="7" t="e">
        <f>D8*H8^2/12+D8*G8^2</f>
        <v>#DIV/0!</v>
      </c>
      <c r="J8" s="8"/>
      <c r="K8" s="8"/>
      <c r="L8" s="8"/>
    </row>
    <row r="9" spans="1:18">
      <c r="A9" s="4"/>
      <c r="B9" s="13">
        <v>4</v>
      </c>
      <c r="C9" s="14">
        <f>données!C31</f>
        <v>0</v>
      </c>
      <c r="D9" s="14">
        <f t="shared" si="0"/>
        <v>0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>
      <c r="A10" s="4"/>
      <c r="B10" s="13">
        <v>5</v>
      </c>
      <c r="C10" s="14">
        <f>données!C30</f>
        <v>0</v>
      </c>
      <c r="D10" s="14">
        <f t="shared" si="0"/>
        <v>0</v>
      </c>
      <c r="E10" s="42">
        <f>données!N3</f>
        <v>0</v>
      </c>
      <c r="F10" s="14">
        <f t="shared" si="1"/>
        <v>0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14</v>
      </c>
      <c r="L10" s="8" t="e">
        <f>F16/#REF!</f>
        <v>#DIV/0!</v>
      </c>
    </row>
    <row r="11" spans="1:18">
      <c r="A11" s="4"/>
      <c r="B11" s="13">
        <v>6</v>
      </c>
      <c r="C11" s="14">
        <f>C10</f>
        <v>0</v>
      </c>
      <c r="D11" s="14">
        <f t="shared" si="0"/>
        <v>0</v>
      </c>
      <c r="E11" s="16">
        <f>E10</f>
        <v>0</v>
      </c>
      <c r="F11" s="14">
        <f t="shared" si="1"/>
        <v>0</v>
      </c>
      <c r="G11" s="15" t="e">
        <f t="shared" si="2"/>
        <v>#DIV/0!</v>
      </c>
      <c r="H11" s="15">
        <f>H10</f>
        <v>0</v>
      </c>
      <c r="I11" s="54" t="e">
        <f>I10</f>
        <v>#DIV/0!</v>
      </c>
      <c r="J11" s="8"/>
    </row>
    <row r="12" spans="1:18">
      <c r="A12" s="4"/>
      <c r="B12" s="13">
        <v>7</v>
      </c>
      <c r="C12" s="14">
        <f>C9</f>
        <v>0</v>
      </c>
      <c r="D12" s="14">
        <f t="shared" si="0"/>
        <v>0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99" t="e">
        <f>I9</f>
        <v>#DIV/0!</v>
      </c>
      <c r="J12" s="8"/>
    </row>
    <row r="13" spans="1:18">
      <c r="A13" s="4"/>
      <c r="B13" s="13">
        <v>8</v>
      </c>
      <c r="C13" s="14">
        <f>C8</f>
        <v>0</v>
      </c>
      <c r="D13" s="14">
        <f t="shared" si="0"/>
        <v>0</v>
      </c>
      <c r="E13" s="14">
        <f>E8</f>
        <v>0</v>
      </c>
      <c r="F13" s="14">
        <f t="shared" si="1"/>
        <v>0</v>
      </c>
      <c r="G13" s="15" t="e">
        <f t="shared" si="2"/>
        <v>#DIV/0!</v>
      </c>
      <c r="H13" s="14">
        <f>H8</f>
        <v>0</v>
      </c>
      <c r="I13" s="100" t="e">
        <f>I8</f>
        <v>#DIV/0!</v>
      </c>
      <c r="J13" s="8"/>
    </row>
    <row r="14" spans="1:18">
      <c r="A14" s="4"/>
      <c r="B14" s="13">
        <v>9</v>
      </c>
      <c r="C14" s="14">
        <f>C7</f>
        <v>0</v>
      </c>
      <c r="D14" s="14">
        <f t="shared" si="0"/>
        <v>0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01" t="e">
        <f>I7</f>
        <v>#DIV/0!</v>
      </c>
      <c r="J14" s="8"/>
    </row>
    <row r="15" spans="1:18">
      <c r="B15" s="13" t="s">
        <v>69</v>
      </c>
      <c r="C15" s="14">
        <f>15*D3-données!I19</f>
        <v>0</v>
      </c>
      <c r="D15" s="14">
        <f t="shared" si="0"/>
        <v>0</v>
      </c>
      <c r="E15" s="14">
        <v>0</v>
      </c>
      <c r="F15" s="14">
        <f t="shared" si="1"/>
        <v>0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>
      <c r="B16" s="25" t="s">
        <v>6</v>
      </c>
      <c r="C16" s="16"/>
      <c r="D16" s="26">
        <f>SUM(D6:D15)</f>
        <v>0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>
      <c r="B17" s="18"/>
      <c r="C17" s="17"/>
      <c r="D17" s="17"/>
      <c r="E17" s="17"/>
      <c r="F17" s="17"/>
      <c r="G17" s="17"/>
      <c r="H17" s="17"/>
      <c r="I17" s="108"/>
      <c r="J17" s="8"/>
    </row>
    <row r="18" spans="1:18" ht="17">
      <c r="B18" s="13" t="s">
        <v>5</v>
      </c>
      <c r="C18" s="13" t="s">
        <v>39</v>
      </c>
      <c r="D18" s="13" t="s">
        <v>42</v>
      </c>
      <c r="E18" s="13"/>
      <c r="F18" s="13"/>
      <c r="G18" s="13"/>
      <c r="H18" s="13"/>
      <c r="I18" s="13"/>
      <c r="J18" s="8"/>
      <c r="K18" s="13" t="s">
        <v>30</v>
      </c>
      <c r="L18" s="13" t="s">
        <v>31</v>
      </c>
      <c r="M18" s="13" t="s">
        <v>32</v>
      </c>
      <c r="N18" s="13" t="s">
        <v>33</v>
      </c>
      <c r="O18" s="13" t="s">
        <v>34</v>
      </c>
      <c r="P18" s="13" t="s">
        <v>35</v>
      </c>
      <c r="Q18" s="13" t="s">
        <v>36</v>
      </c>
      <c r="R18" s="13"/>
    </row>
    <row r="19" spans="1:18" ht="17">
      <c r="A19" s="4"/>
      <c r="B19" s="13" t="s">
        <v>68</v>
      </c>
      <c r="C19" s="14" t="e">
        <f>'largeur_eff_semelle bis (2)'!O5-données!I19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37</v>
      </c>
      <c r="L19" s="2"/>
      <c r="M19" s="2" t="s">
        <v>38</v>
      </c>
      <c r="N19" s="2"/>
      <c r="O19" s="2" t="s">
        <v>82</v>
      </c>
      <c r="P19" s="2"/>
      <c r="Q19" s="2" t="s">
        <v>83</v>
      </c>
      <c r="R19" s="2"/>
    </row>
    <row r="20" spans="1:18">
      <c r="A20" s="4"/>
      <c r="B20" s="13">
        <v>2</v>
      </c>
      <c r="C20" s="14">
        <f>C7</f>
        <v>0</v>
      </c>
      <c r="D20" s="14">
        <f t="shared" ref="D20:D28" si="3">C20*$D$3</f>
        <v>0</v>
      </c>
      <c r="E20" s="14"/>
      <c r="F20" s="14"/>
      <c r="G20" s="15"/>
      <c r="H20" s="15"/>
      <c r="I20" s="6"/>
      <c r="J20" s="8"/>
      <c r="K20" s="8"/>
      <c r="L20" s="8"/>
    </row>
    <row r="21" spans="1:18">
      <c r="A21" s="4"/>
      <c r="B21" s="13">
        <v>3</v>
      </c>
      <c r="C21" s="14">
        <f t="shared" ref="C21:C27" si="4">C8</f>
        <v>0</v>
      </c>
      <c r="D21" s="14">
        <f t="shared" si="3"/>
        <v>0</v>
      </c>
      <c r="E21" s="42"/>
      <c r="F21" s="14"/>
      <c r="G21" s="15"/>
      <c r="H21" s="15"/>
      <c r="I21" s="7"/>
      <c r="J21" s="8"/>
      <c r="K21" s="8"/>
      <c r="L21" s="8"/>
    </row>
    <row r="22" spans="1:18">
      <c r="A22" s="4"/>
      <c r="B22" s="13">
        <v>4</v>
      </c>
      <c r="C22" s="14">
        <f t="shared" si="4"/>
        <v>0</v>
      </c>
      <c r="D22" s="14">
        <f t="shared" si="3"/>
        <v>0</v>
      </c>
      <c r="E22" s="16"/>
      <c r="F22" s="14"/>
      <c r="G22" s="15"/>
      <c r="H22" s="15"/>
      <c r="I22" s="6"/>
      <c r="J22" s="8"/>
      <c r="K22" s="8"/>
      <c r="L22" s="8"/>
    </row>
    <row r="23" spans="1:18">
      <c r="A23" s="4"/>
      <c r="B23" s="13">
        <v>5</v>
      </c>
      <c r="C23" s="14">
        <f t="shared" si="4"/>
        <v>0</v>
      </c>
      <c r="D23" s="14">
        <f t="shared" si="3"/>
        <v>0</v>
      </c>
      <c r="E23" s="42"/>
      <c r="F23" s="14"/>
      <c r="G23" s="15"/>
      <c r="H23" s="15"/>
      <c r="I23" s="7"/>
      <c r="J23" s="8"/>
      <c r="K23" s="8" t="s">
        <v>14</v>
      </c>
      <c r="L23" s="8" t="e">
        <f>F29/#REF!</f>
        <v>#REF!</v>
      </c>
    </row>
    <row r="24" spans="1:18">
      <c r="A24" s="4"/>
      <c r="B24" s="13">
        <v>6</v>
      </c>
      <c r="C24" s="14">
        <f t="shared" si="4"/>
        <v>0</v>
      </c>
      <c r="D24" s="14">
        <f t="shared" si="3"/>
        <v>0</v>
      </c>
      <c r="E24" s="16"/>
      <c r="F24" s="14"/>
      <c r="G24" s="15"/>
      <c r="H24" s="15"/>
      <c r="I24" s="54"/>
      <c r="J24" s="8"/>
    </row>
    <row r="25" spans="1:18">
      <c r="A25" s="4"/>
      <c r="B25" s="13">
        <v>7</v>
      </c>
      <c r="C25" s="14">
        <f t="shared" si="4"/>
        <v>0</v>
      </c>
      <c r="D25" s="14">
        <f t="shared" si="3"/>
        <v>0</v>
      </c>
      <c r="E25" s="14"/>
      <c r="F25" s="14"/>
      <c r="G25" s="15"/>
      <c r="H25" s="14"/>
      <c r="I25" s="99"/>
      <c r="J25" s="8"/>
    </row>
    <row r="26" spans="1:18">
      <c r="A26" s="4"/>
      <c r="B26" s="13">
        <v>8</v>
      </c>
      <c r="C26" s="14">
        <f t="shared" si="4"/>
        <v>0</v>
      </c>
      <c r="D26" s="14">
        <f t="shared" si="3"/>
        <v>0</v>
      </c>
      <c r="E26" s="14"/>
      <c r="F26" s="14"/>
      <c r="G26" s="15"/>
      <c r="H26" s="14"/>
      <c r="I26" s="100"/>
      <c r="J26" s="8"/>
    </row>
    <row r="27" spans="1:18">
      <c r="A27" s="4"/>
      <c r="B27" s="13">
        <v>9</v>
      </c>
      <c r="C27" s="14">
        <f t="shared" si="4"/>
        <v>0</v>
      </c>
      <c r="D27" s="14">
        <f t="shared" si="3"/>
        <v>0</v>
      </c>
      <c r="E27" s="14"/>
      <c r="F27" s="14"/>
      <c r="G27" s="15"/>
      <c r="H27" s="14"/>
      <c r="I27" s="101"/>
      <c r="J27" s="8"/>
    </row>
    <row r="28" spans="1:18">
      <c r="B28" s="13" t="s">
        <v>69</v>
      </c>
      <c r="C28" s="14" t="e">
        <f>'largeur_eff_semelle bis (2)'!O5-données!I19</f>
        <v>#DIV/0!</v>
      </c>
      <c r="D28" s="14" t="e">
        <f t="shared" si="3"/>
        <v>#DIV/0!</v>
      </c>
      <c r="E28" s="14"/>
      <c r="F28" s="14"/>
      <c r="G28" s="15"/>
      <c r="H28" s="15"/>
      <c r="I28" s="57"/>
      <c r="J28" s="8"/>
    </row>
    <row r="29" spans="1:18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>
      <c r="B30" s="18"/>
      <c r="C30" s="17"/>
      <c r="D30" s="17"/>
      <c r="E30" s="17"/>
      <c r="F30" s="17"/>
      <c r="G30" s="17"/>
      <c r="H30" s="17"/>
      <c r="I30" s="108"/>
      <c r="J30" s="8"/>
    </row>
    <row r="31" spans="1:18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7">
      <c r="B32" s="2" t="s">
        <v>91</v>
      </c>
      <c r="C32" s="2"/>
      <c r="D32" s="2" t="s">
        <v>22</v>
      </c>
      <c r="E32" s="2" t="s">
        <v>23</v>
      </c>
      <c r="F32" s="2" t="s">
        <v>24</v>
      </c>
      <c r="G32" s="2" t="s">
        <v>25</v>
      </c>
      <c r="H32" s="2" t="s">
        <v>87</v>
      </c>
      <c r="I32" s="2" t="s">
        <v>26</v>
      </c>
      <c r="J32" s="8"/>
      <c r="K32" s="8"/>
      <c r="L32" s="8"/>
    </row>
    <row r="33" spans="2:12">
      <c r="B33" s="7">
        <f>2*C3+B3</f>
        <v>0</v>
      </c>
      <c r="C33" s="7"/>
      <c r="D33" s="7">
        <f>data!J6</f>
        <v>0</v>
      </c>
      <c r="E33" s="7">
        <f>données!M3</f>
        <v>0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58" t="e">
        <f>IF(G33&gt;2,H33,(H33-(H33-1)*(2*F33/E33-(F33/E33)^2)))</f>
        <v>#DIV/0!</v>
      </c>
      <c r="J33" s="8"/>
      <c r="K33" s="8"/>
      <c r="L33" s="8"/>
    </row>
    <row r="34" spans="2:1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7">
      <c r="B35" s="2" t="s">
        <v>45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7">
      <c r="B38" s="2" t="s">
        <v>17</v>
      </c>
      <c r="C38" s="2" t="s">
        <v>9</v>
      </c>
      <c r="D38" s="2" t="s">
        <v>88</v>
      </c>
      <c r="E38" s="2" t="s">
        <v>89</v>
      </c>
    </row>
    <row r="39" spans="2:12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7">
      <c r="B41" s="7" t="s">
        <v>10</v>
      </c>
      <c r="C41" s="13" t="s">
        <v>51</v>
      </c>
      <c r="E41" s="2" t="s">
        <v>109</v>
      </c>
    </row>
    <row r="42" spans="2:12">
      <c r="B42" s="59" t="e">
        <f>E39</f>
        <v>#DIV/0!</v>
      </c>
      <c r="C42" s="14" t="e">
        <f>B42*données!E3*B39/'largeur_eff_semelle bis (2)'!K5/'largeur_eff_semelle (2)'!J5</f>
        <v>#DIV/0!</v>
      </c>
      <c r="E42" t="e">
        <f>B39/'largeur_eff_semelle (2)'!K5/'largeur_eff_semelle (2)'!J5</f>
        <v>#DIV/0!</v>
      </c>
      <c r="G42" s="65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zoomScale="150" zoomScaleNormal="150" zoomScalePageLayoutView="150" workbookViewId="0">
      <selection activeCell="H48" sqref="H48:O62"/>
    </sheetView>
  </sheetViews>
  <sheetFormatPr baseColWidth="10" defaultRowHeight="14" x14ac:dyDescent="0"/>
  <cols>
    <col min="6" max="6" width="11.5" customWidth="1"/>
  </cols>
  <sheetData>
    <row r="2" spans="2:9" ht="17">
      <c r="B2" s="2" t="s">
        <v>0</v>
      </c>
      <c r="C2" s="2" t="s">
        <v>2</v>
      </c>
      <c r="D2" s="2" t="s">
        <v>17</v>
      </c>
      <c r="E2" s="40" t="s">
        <v>66</v>
      </c>
      <c r="F2" s="39" t="s">
        <v>65</v>
      </c>
      <c r="G2" s="2" t="s">
        <v>70</v>
      </c>
      <c r="H2" s="2" t="s">
        <v>29</v>
      </c>
      <c r="I2" s="8"/>
    </row>
    <row r="3" spans="2:9">
      <c r="B3" s="2">
        <f>données!E3</f>
        <v>0</v>
      </c>
      <c r="C3" s="7">
        <f>données!H3</f>
        <v>0</v>
      </c>
      <c r="D3" s="43">
        <f>données!G3</f>
        <v>0</v>
      </c>
      <c r="E3" s="11">
        <v>1</v>
      </c>
      <c r="F3" s="11" t="e">
        <f>MIN(D3,D3*(données!L3-résistance_section!H28)/résistance_section!H28)</f>
        <v>#DIV/0!</v>
      </c>
      <c r="G3" s="7" t="e">
        <f>données!L3-résistance_section!H28</f>
        <v>#DIV/0!</v>
      </c>
      <c r="H3" s="2" t="e">
        <f>G3/SIN(données!B3)-données!C20</f>
        <v>#DIV/0!</v>
      </c>
      <c r="I3" s="8"/>
    </row>
    <row r="4" spans="2:9">
      <c r="B4" s="8"/>
      <c r="C4" s="8"/>
      <c r="D4" s="8"/>
      <c r="E4" s="8"/>
      <c r="F4" s="8"/>
      <c r="G4" s="8"/>
      <c r="H4" s="8"/>
    </row>
    <row r="5" spans="2:9" ht="17">
      <c r="B5" s="2" t="s">
        <v>27</v>
      </c>
      <c r="C5" s="2" t="s">
        <v>28</v>
      </c>
      <c r="D5" s="2" t="s">
        <v>92</v>
      </c>
      <c r="E5" s="2" t="s">
        <v>93</v>
      </c>
      <c r="F5" s="8" t="s">
        <v>94</v>
      </c>
      <c r="G5" s="8"/>
      <c r="H5" s="8"/>
    </row>
    <row r="6" spans="2:9">
      <c r="B6" s="57" t="e">
        <f>0.95*B3*(C3/F3/E3)^0.5</f>
        <v>#DIV/0!</v>
      </c>
      <c r="C6" s="57" t="e">
        <f>B6</f>
        <v>#DIV/0!</v>
      </c>
      <c r="D6" s="7" t="e">
        <f>1.5*C6</f>
        <v>#DIV/0!</v>
      </c>
      <c r="E6" s="9" t="e">
        <f>C6+D6</f>
        <v>#DIV/0!</v>
      </c>
      <c r="F6" s="8"/>
      <c r="G6" s="60" t="s">
        <v>136</v>
      </c>
      <c r="H6" s="8"/>
    </row>
    <row r="7" spans="2:9">
      <c r="B7" s="8"/>
      <c r="C7" s="8"/>
      <c r="D7" s="8"/>
      <c r="E7" s="8"/>
      <c r="F7" s="8"/>
      <c r="G7" s="8"/>
      <c r="H7" s="8"/>
    </row>
    <row r="8" spans="2:9">
      <c r="B8" s="102" t="s">
        <v>8</v>
      </c>
      <c r="C8" s="60"/>
      <c r="D8" s="60"/>
      <c r="E8" s="60"/>
      <c r="F8" s="8"/>
      <c r="G8" s="8"/>
      <c r="H8" s="8"/>
    </row>
    <row r="9" spans="2:9">
      <c r="B9" s="8"/>
      <c r="C9" s="8"/>
      <c r="D9" s="8"/>
      <c r="E9" s="8"/>
      <c r="F9" s="8"/>
      <c r="G9" s="8"/>
      <c r="H9" s="8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topLeftCell="A14" zoomScale="150" zoomScaleNormal="150" zoomScalePageLayoutView="150" workbookViewId="0">
      <selection activeCell="H48" sqref="H48:O62"/>
    </sheetView>
  </sheetViews>
  <sheetFormatPr baseColWidth="10" defaultRowHeight="14" x14ac:dyDescent="0"/>
  <cols>
    <col min="2" max="2" width="11.5" bestFit="1" customWidth="1"/>
  </cols>
  <sheetData>
    <row r="2" spans="1:11" ht="17">
      <c r="B2" s="2" t="s">
        <v>0</v>
      </c>
      <c r="C2" s="2" t="s">
        <v>2</v>
      </c>
      <c r="D2" s="2" t="s">
        <v>17</v>
      </c>
      <c r="E2" s="8"/>
      <c r="F2" s="8"/>
      <c r="G2" s="8"/>
      <c r="H2" s="8"/>
      <c r="I2" s="8"/>
      <c r="J2" s="8"/>
      <c r="K2" s="8"/>
    </row>
    <row r="3" spans="1:11">
      <c r="B3" s="2">
        <f>données!E3</f>
        <v>0</v>
      </c>
      <c r="C3" s="7">
        <f>données!H3</f>
        <v>0</v>
      </c>
      <c r="D3" s="6">
        <f>données!G3</f>
        <v>0</v>
      </c>
      <c r="E3" s="8"/>
      <c r="F3" s="8"/>
      <c r="G3" s="8"/>
      <c r="H3" s="8"/>
      <c r="I3" s="8"/>
      <c r="J3" s="8"/>
      <c r="K3" s="8"/>
    </row>
    <row r="4" spans="1:11"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7">
      <c r="B5" s="63" t="s">
        <v>74</v>
      </c>
      <c r="C5" s="63" t="s">
        <v>73</v>
      </c>
      <c r="D5" s="63" t="s">
        <v>71</v>
      </c>
      <c r="E5" s="63" t="s">
        <v>72</v>
      </c>
      <c r="F5" s="63" t="s">
        <v>73</v>
      </c>
      <c r="G5" s="8" t="s">
        <v>90</v>
      </c>
      <c r="H5" s="8"/>
      <c r="I5" s="8"/>
      <c r="J5" s="8"/>
      <c r="K5" s="8"/>
    </row>
    <row r="6" spans="1:11">
      <c r="B6" s="64" t="e">
        <f>0.76*B3*(C3/D3)^0.5</f>
        <v>#DIV/0!</v>
      </c>
      <c r="C6" s="64" t="e">
        <f>B6</f>
        <v>#DIV/0!</v>
      </c>
      <c r="D6" s="64" t="e">
        <f>largeur_eff_ame!#REF!</f>
        <v>#REF!</v>
      </c>
      <c r="E6" s="63" t="e">
        <f>largeur_eff_ame!#REF!</f>
        <v>#REF!</v>
      </c>
      <c r="F6" s="63"/>
      <c r="G6" s="8"/>
      <c r="H6" s="8"/>
      <c r="I6" s="8"/>
      <c r="J6" s="8"/>
      <c r="K6" s="8"/>
    </row>
    <row r="7" spans="1:11"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>
      <c r="B8" s="20" t="s">
        <v>8</v>
      </c>
      <c r="C8" s="8"/>
      <c r="D8" s="8"/>
      <c r="E8" s="8"/>
      <c r="F8" s="8"/>
      <c r="G8" s="8"/>
      <c r="H8" s="8"/>
      <c r="I8" s="8"/>
      <c r="J8" s="8"/>
      <c r="K8" s="8"/>
    </row>
    <row r="9" spans="1:11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7">
      <c r="B10" s="13" t="s">
        <v>5</v>
      </c>
      <c r="C10" s="13" t="s">
        <v>39</v>
      </c>
      <c r="D10" s="13" t="s">
        <v>46</v>
      </c>
      <c r="E10" s="13" t="s">
        <v>42</v>
      </c>
      <c r="F10" s="13" t="s">
        <v>40</v>
      </c>
      <c r="G10" s="13" t="s">
        <v>43</v>
      </c>
      <c r="H10" s="13" t="s">
        <v>41</v>
      </c>
      <c r="I10" s="21" t="s">
        <v>7</v>
      </c>
      <c r="J10" s="13" t="s">
        <v>44</v>
      </c>
      <c r="K10" s="22" t="s">
        <v>11</v>
      </c>
    </row>
    <row r="11" spans="1:11">
      <c r="B11" s="13">
        <v>0</v>
      </c>
      <c r="C11" s="13">
        <f>données!Q4</f>
        <v>0</v>
      </c>
      <c r="D11" s="110" t="e">
        <f>'raidisseur (2)'!C$42</f>
        <v>#DIV/0!</v>
      </c>
      <c r="E11" s="105" t="e">
        <f>C11*D11</f>
        <v>#DIV/0!</v>
      </c>
      <c r="F11" s="14">
        <f>données!J30+données!R5</f>
        <v>0</v>
      </c>
      <c r="G11" s="14" t="e">
        <f>E11*F11</f>
        <v>#DIV/0!</v>
      </c>
      <c r="H11" s="7" t="e">
        <f t="shared" ref="H11:H27" si="0">$H$28-F11</f>
        <v>#DIV/0!</v>
      </c>
      <c r="I11" s="28">
        <f>données!M30</f>
        <v>0</v>
      </c>
      <c r="J11" s="7" t="e">
        <f t="shared" ref="J11" si="1">E11*I11^2/12+E11*H11^2</f>
        <v>#DIV/0!</v>
      </c>
      <c r="K11" s="27"/>
    </row>
    <row r="12" spans="1:11">
      <c r="A12" s="78">
        <f>C12*B$3</f>
        <v>0</v>
      </c>
      <c r="B12" s="13">
        <v>1</v>
      </c>
      <c r="C12" s="14">
        <f>données!C30-C11</f>
        <v>0</v>
      </c>
      <c r="D12" s="110" t="e">
        <f>'raidisseur (2)'!C$42</f>
        <v>#DIV/0!</v>
      </c>
      <c r="E12" s="105" t="e">
        <f t="shared" ref="E12:E16" si="2">C12*D12</f>
        <v>#DIV/0!</v>
      </c>
      <c r="F12" s="14">
        <f>données!J30</f>
        <v>0</v>
      </c>
      <c r="G12" s="14" t="e">
        <f>E12*F12</f>
        <v>#DIV/0!</v>
      </c>
      <c r="H12" s="7" t="e">
        <f t="shared" si="0"/>
        <v>#DIV/0!</v>
      </c>
      <c r="I12" s="28">
        <f>données!M30</f>
        <v>0</v>
      </c>
      <c r="J12" s="7" t="e">
        <f t="shared" ref="J12" si="3">E12*I12^2/12+E12*H12^2</f>
        <v>#DIV/0!</v>
      </c>
      <c r="K12" s="27"/>
    </row>
    <row r="13" spans="1:11">
      <c r="A13" s="78">
        <f t="shared" ref="A13:A16" si="4">C13*B$3</f>
        <v>0</v>
      </c>
      <c r="B13" s="13">
        <v>2</v>
      </c>
      <c r="C13" s="14">
        <f>données!C31</f>
        <v>0</v>
      </c>
      <c r="D13" s="110" t="e">
        <f>'raidisseur (2)'!C$42</f>
        <v>#DIV/0!</v>
      </c>
      <c r="E13" s="105" t="e">
        <f t="shared" si="2"/>
        <v>#DIV/0!</v>
      </c>
      <c r="F13" s="14" t="e">
        <f>données!J31</f>
        <v>#DIV/0!</v>
      </c>
      <c r="G13" s="14" t="e">
        <f t="shared" ref="G13:G27" si="5">E13*F13</f>
        <v>#DIV/0!</v>
      </c>
      <c r="H13" s="7" t="e">
        <f t="shared" si="0"/>
        <v>#DIV/0!</v>
      </c>
      <c r="I13" s="28">
        <f>données!M31</f>
        <v>0</v>
      </c>
      <c r="J13" s="6" t="e">
        <f>D13*(données!$P$3^3*((données!$I$17+SIN(données!$I$17)*COS(données!$I$17))/2-SIN(données!$I$17)^2/données!$I$17))+E13*H13^2</f>
        <v>#DIV/0!</v>
      </c>
      <c r="K13" s="8"/>
    </row>
    <row r="14" spans="1:11">
      <c r="A14" s="78">
        <f t="shared" si="4"/>
        <v>0</v>
      </c>
      <c r="B14" s="13">
        <v>3</v>
      </c>
      <c r="C14" s="14">
        <f>données!C32</f>
        <v>0</v>
      </c>
      <c r="D14" s="110" t="e">
        <f>'raidisseur (2)'!C$42</f>
        <v>#DIV/0!</v>
      </c>
      <c r="E14" s="105" t="e">
        <f t="shared" si="2"/>
        <v>#DIV/0!</v>
      </c>
      <c r="F14" s="14">
        <f>données!J32</f>
        <v>0</v>
      </c>
      <c r="G14" s="14" t="e">
        <f t="shared" si="5"/>
        <v>#DIV/0!</v>
      </c>
      <c r="H14" s="7" t="e">
        <f t="shared" si="0"/>
        <v>#DIV/0!</v>
      </c>
      <c r="I14" s="28">
        <f>données!M32</f>
        <v>0</v>
      </c>
      <c r="J14" s="7" t="e">
        <f t="shared" ref="J14" si="6">E14*I14^2/12+E14*H14^2</f>
        <v>#DIV/0!</v>
      </c>
      <c r="K14" s="8"/>
    </row>
    <row r="15" spans="1:11">
      <c r="A15" s="78">
        <f t="shared" si="4"/>
        <v>0</v>
      </c>
      <c r="B15" s="13">
        <v>4</v>
      </c>
      <c r="C15" s="14">
        <f>données!C33</f>
        <v>0</v>
      </c>
      <c r="D15" s="110" t="e">
        <f>'raidisseur (2)'!C$42</f>
        <v>#DIV/0!</v>
      </c>
      <c r="E15" s="105" t="e">
        <f t="shared" si="2"/>
        <v>#DIV/0!</v>
      </c>
      <c r="F15" s="14" t="e">
        <f>données!J33</f>
        <v>#DIV/0!</v>
      </c>
      <c r="G15" s="14" t="e">
        <f t="shared" si="5"/>
        <v>#DIV/0!</v>
      </c>
      <c r="H15" s="7" t="e">
        <f t="shared" si="0"/>
        <v>#DIV/0!</v>
      </c>
      <c r="I15" s="28">
        <f>données!M33</f>
        <v>0</v>
      </c>
      <c r="J15" s="6" t="e">
        <f>D15*(données!$P$3^3*((données!$I$17+SIN(données!$I$17)*COS(données!$I$17))/2-SIN(données!$I$17)^2/données!$I$17))+E15*H15^2</f>
        <v>#DIV/0!</v>
      </c>
      <c r="K15" s="8"/>
    </row>
    <row r="16" spans="1:11">
      <c r="A16" s="78" t="e">
        <f t="shared" si="4"/>
        <v>#DIV/0!</v>
      </c>
      <c r="B16" s="13">
        <v>51</v>
      </c>
      <c r="C16" s="14" t="e">
        <f>'largeur_eff_semelle (2)'!O5-données!I19</f>
        <v>#DIV/0!</v>
      </c>
      <c r="D16" s="110" t="e">
        <f>'raidisseur (2)'!C$42</f>
        <v>#DIV/0!</v>
      </c>
      <c r="E16" s="105" t="e">
        <f t="shared" si="2"/>
        <v>#DIV/0!</v>
      </c>
      <c r="F16" s="14">
        <f>données!J34</f>
        <v>0</v>
      </c>
      <c r="G16" s="14" t="e">
        <f t="shared" si="5"/>
        <v>#DIV/0!</v>
      </c>
      <c r="H16" s="7" t="e">
        <f t="shared" si="0"/>
        <v>#DIV/0!</v>
      </c>
      <c r="I16" s="28">
        <f>données!M34</f>
        <v>0</v>
      </c>
      <c r="J16" s="7" t="e">
        <f t="shared" ref="J16:J17" si="7">E16*I16^2/12+E16*H16^2</f>
        <v>#DIV/0!</v>
      </c>
      <c r="K16" s="8"/>
    </row>
    <row r="17" spans="1:11">
      <c r="A17" s="78"/>
      <c r="B17" s="13">
        <v>52</v>
      </c>
      <c r="C17" s="133" t="e">
        <f>('largeur_eff_semelle (2)'!O5-données!C21)</f>
        <v>#DIV/0!</v>
      </c>
      <c r="D17" s="23">
        <f>$B$3</f>
        <v>0</v>
      </c>
      <c r="E17" s="14" t="e">
        <f t="shared" ref="E17:E27" si="8">C17*D17</f>
        <v>#DIV/0!</v>
      </c>
      <c r="F17" s="14">
        <f>données!J34</f>
        <v>0</v>
      </c>
      <c r="G17" s="14" t="e">
        <f t="shared" si="5"/>
        <v>#DIV/0!</v>
      </c>
      <c r="H17" s="7" t="e">
        <f t="shared" si="0"/>
        <v>#DIV/0!</v>
      </c>
      <c r="I17" s="28">
        <f>données!M34</f>
        <v>0</v>
      </c>
      <c r="J17" s="7" t="e">
        <f t="shared" si="7"/>
        <v>#DIV/0!</v>
      </c>
      <c r="K17" s="8"/>
    </row>
    <row r="18" spans="1:11">
      <c r="A18" s="78"/>
      <c r="B18" s="13">
        <v>6</v>
      </c>
      <c r="C18" s="14">
        <f>données!C35</f>
        <v>0</v>
      </c>
      <c r="D18" s="23">
        <f t="shared" ref="D18" si="9">$B$3</f>
        <v>0</v>
      </c>
      <c r="E18" s="14">
        <f t="shared" si="8"/>
        <v>0</v>
      </c>
      <c r="F18" s="14" t="e">
        <f>données!J35</f>
        <v>#DIV/0!</v>
      </c>
      <c r="G18" s="14" t="e">
        <f t="shared" si="5"/>
        <v>#DIV/0!</v>
      </c>
      <c r="H18" s="7" t="e">
        <f t="shared" si="0"/>
        <v>#DIV/0!</v>
      </c>
      <c r="I18" s="28">
        <f>données!M35</f>
        <v>0</v>
      </c>
      <c r="J18" s="6" t="e">
        <f>D18*données!J$3^3*((données!B$3+SIN(données!B$3)*COS(données!B$3))/2-SIN(données!B$3)^2/données!B$3)+E18*H18^2</f>
        <v>#DIV/0!</v>
      </c>
      <c r="K18" s="8"/>
    </row>
    <row r="19" spans="1:11">
      <c r="A19" s="78"/>
      <c r="B19" s="13">
        <v>7</v>
      </c>
      <c r="C19" s="14">
        <f>données!C36</f>
        <v>0</v>
      </c>
      <c r="D19" s="103">
        <f>$B$3</f>
        <v>0</v>
      </c>
      <c r="E19" s="14">
        <f t="shared" ref="E19:E21" si="10">C19*D19</f>
        <v>0</v>
      </c>
      <c r="F19" s="14">
        <f>données!J36</f>
        <v>0</v>
      </c>
      <c r="G19" s="14">
        <f t="shared" ref="G19:G21" si="11">E19*F19</f>
        <v>0</v>
      </c>
      <c r="H19" s="7" t="e">
        <f t="shared" si="0"/>
        <v>#DIV/0!</v>
      </c>
      <c r="I19" s="28">
        <f>données!M36</f>
        <v>0</v>
      </c>
      <c r="J19" s="7" t="e">
        <f>E19*I19^2/12+E19*H19^2</f>
        <v>#DIV/0!</v>
      </c>
      <c r="K19" s="8"/>
    </row>
    <row r="20" spans="1:11">
      <c r="A20" s="78"/>
      <c r="B20" s="13" t="s">
        <v>117</v>
      </c>
      <c r="C20" s="14">
        <f>-données!$Q$3</f>
        <v>-14.125</v>
      </c>
      <c r="D20" s="81">
        <f t="shared" ref="D20" si="12">$B$3</f>
        <v>0</v>
      </c>
      <c r="E20" s="14">
        <f t="shared" si="10"/>
        <v>0</v>
      </c>
      <c r="F20" s="14">
        <f>résistance_section!$F$20</f>
        <v>-28.625</v>
      </c>
      <c r="G20" s="14">
        <f t="shared" si="11"/>
        <v>0</v>
      </c>
      <c r="H20" s="7" t="e">
        <f t="shared" si="0"/>
        <v>#DIV/0!</v>
      </c>
      <c r="I20" s="111">
        <f>-C20*SIN(données!$B$3)</f>
        <v>0</v>
      </c>
      <c r="J20" s="7" t="e">
        <f t="shared" ref="J20:J21" si="13">E20*I20^2/12+E20*H20^2</f>
        <v>#DIV/0!</v>
      </c>
      <c r="K20" s="8"/>
    </row>
    <row r="21" spans="1:11">
      <c r="A21" s="78"/>
      <c r="B21" s="13" t="s">
        <v>117</v>
      </c>
      <c r="C21" s="14">
        <f>données!$Q$3</f>
        <v>14.125</v>
      </c>
      <c r="D21" s="81">
        <f>$B$3*données!P4</f>
        <v>0</v>
      </c>
      <c r="E21" s="14">
        <f t="shared" si="10"/>
        <v>0</v>
      </c>
      <c r="F21" s="14">
        <f>résistance_section!$F$21</f>
        <v>-28.625</v>
      </c>
      <c r="G21" s="14">
        <f t="shared" si="11"/>
        <v>0</v>
      </c>
      <c r="H21" s="7" t="e">
        <f t="shared" si="0"/>
        <v>#DIV/0!</v>
      </c>
      <c r="I21" s="111">
        <f>C21*SIN(données!$B$3)</f>
        <v>0</v>
      </c>
      <c r="J21" s="7" t="e">
        <f t="shared" si="13"/>
        <v>#DIV/0!</v>
      </c>
      <c r="K21" s="8"/>
    </row>
    <row r="22" spans="1:11">
      <c r="A22" s="78"/>
      <c r="B22" s="13">
        <v>8</v>
      </c>
      <c r="C22" s="14">
        <f>données!C37</f>
        <v>0</v>
      </c>
      <c r="D22" s="23">
        <f>$B$3</f>
        <v>0</v>
      </c>
      <c r="E22" s="14">
        <f t="shared" si="8"/>
        <v>0</v>
      </c>
      <c r="F22" s="14" t="e">
        <f>données!J37</f>
        <v>#DIV/0!</v>
      </c>
      <c r="G22" s="14" t="e">
        <f t="shared" si="5"/>
        <v>#DIV/0!</v>
      </c>
      <c r="H22" s="7" t="e">
        <f t="shared" si="0"/>
        <v>#DIV/0!</v>
      </c>
      <c r="I22" s="28">
        <f>données!M37</f>
        <v>0</v>
      </c>
      <c r="J22" s="6" t="e">
        <f>D22*données!I$3^3*((données!B$3+SIN(données!B$3)*COS(données!B$3))/2-SIN(données!B$3)^2/données!B$3)+E22*H22^2</f>
        <v>#DIV/0!</v>
      </c>
      <c r="K22" s="8"/>
    </row>
    <row r="23" spans="1:11">
      <c r="A23" s="78"/>
      <c r="B23" s="13">
        <v>9</v>
      </c>
      <c r="C23" s="14">
        <f>données!C38</f>
        <v>0</v>
      </c>
      <c r="D23" s="23">
        <f>$B$3</f>
        <v>0</v>
      </c>
      <c r="E23" s="14">
        <f>C23*D23</f>
        <v>0</v>
      </c>
      <c r="F23" s="14">
        <f>données!J38</f>
        <v>0</v>
      </c>
      <c r="G23" s="14">
        <f t="shared" si="5"/>
        <v>0</v>
      </c>
      <c r="H23" s="7" t="e">
        <f t="shared" si="0"/>
        <v>#DIV/0!</v>
      </c>
      <c r="I23" s="28">
        <f>données!M38</f>
        <v>0</v>
      </c>
      <c r="J23" s="7" t="e">
        <f>E23*I23^2/12+E23*H23^2</f>
        <v>#DIV/0!</v>
      </c>
      <c r="K23" s="8"/>
    </row>
    <row r="24" spans="1:11">
      <c r="A24" s="5"/>
      <c r="B24" s="13">
        <v>11</v>
      </c>
      <c r="C24" s="14">
        <f>données!C39</f>
        <v>0</v>
      </c>
      <c r="D24" s="23">
        <f t="shared" ref="D24:D27" si="14">$B$3</f>
        <v>0</v>
      </c>
      <c r="E24" s="14">
        <f t="shared" si="8"/>
        <v>0</v>
      </c>
      <c r="F24" s="14">
        <f>données!J39</f>
        <v>0</v>
      </c>
      <c r="G24" s="14">
        <f t="shared" si="5"/>
        <v>0</v>
      </c>
      <c r="H24" s="7" t="e">
        <f t="shared" si="0"/>
        <v>#DIV/0!</v>
      </c>
      <c r="I24" s="28">
        <f>données!M39</f>
        <v>0</v>
      </c>
      <c r="J24" s="7" t="e">
        <f>E24*I24^2/12+E24*H24^2</f>
        <v>#DIV/0!</v>
      </c>
      <c r="K24" s="8"/>
    </row>
    <row r="25" spans="1:11">
      <c r="A25" s="5"/>
      <c r="B25" s="13">
        <v>13</v>
      </c>
      <c r="C25" s="14">
        <f>données!C40</f>
        <v>0</v>
      </c>
      <c r="D25" s="23">
        <f t="shared" si="14"/>
        <v>0</v>
      </c>
      <c r="E25" s="14">
        <f t="shared" si="8"/>
        <v>0</v>
      </c>
      <c r="F25" s="14">
        <f>données!J40</f>
        <v>0</v>
      </c>
      <c r="G25" s="14">
        <f t="shared" si="5"/>
        <v>0</v>
      </c>
      <c r="H25" s="7" t="e">
        <f t="shared" si="0"/>
        <v>#DIV/0!</v>
      </c>
      <c r="I25" s="28">
        <f>données!M40</f>
        <v>0</v>
      </c>
      <c r="J25" s="7" t="e">
        <f t="shared" ref="J25:J27" si="15">E25*I25^2/12+E25*H25^2</f>
        <v>#DIV/0!</v>
      </c>
      <c r="K25" s="8"/>
    </row>
    <row r="26" spans="1:11">
      <c r="B26" s="13">
        <v>15</v>
      </c>
      <c r="C26" s="14">
        <f>données!C41</f>
        <v>0</v>
      </c>
      <c r="D26" s="23">
        <f t="shared" si="14"/>
        <v>0</v>
      </c>
      <c r="E26" s="14">
        <f t="shared" si="8"/>
        <v>0</v>
      </c>
      <c r="F26" s="14">
        <f>données!J41</f>
        <v>0</v>
      </c>
      <c r="G26" s="14">
        <f t="shared" si="5"/>
        <v>0</v>
      </c>
      <c r="H26" s="7" t="e">
        <f t="shared" si="0"/>
        <v>#DIV/0!</v>
      </c>
      <c r="I26" s="28">
        <f>données!M41</f>
        <v>0</v>
      </c>
      <c r="J26" s="7" t="e">
        <f t="shared" si="15"/>
        <v>#DIV/0!</v>
      </c>
      <c r="K26" s="8"/>
    </row>
    <row r="27" spans="1:11">
      <c r="B27" s="13">
        <v>17</v>
      </c>
      <c r="C27" s="14">
        <f>données!C42</f>
        <v>0</v>
      </c>
      <c r="D27" s="23">
        <f t="shared" si="14"/>
        <v>0</v>
      </c>
      <c r="E27" s="14">
        <f t="shared" si="8"/>
        <v>0</v>
      </c>
      <c r="F27" s="14">
        <f>données!J42</f>
        <v>0</v>
      </c>
      <c r="G27" s="14">
        <f t="shared" si="5"/>
        <v>0</v>
      </c>
      <c r="H27" s="7" t="e">
        <f t="shared" si="0"/>
        <v>#DIV/0!</v>
      </c>
      <c r="I27" s="28">
        <f>données!M42</f>
        <v>0</v>
      </c>
      <c r="J27" s="7" t="e">
        <f t="shared" si="15"/>
        <v>#DIV/0!</v>
      </c>
      <c r="K27" s="8"/>
    </row>
    <row r="28" spans="1:11">
      <c r="B28" s="13" t="s">
        <v>6</v>
      </c>
      <c r="C28" s="8"/>
      <c r="D28" s="8"/>
      <c r="E28" s="24" t="e">
        <f>SUM(E11:E27)</f>
        <v>#DIV/0!</v>
      </c>
      <c r="F28" s="8"/>
      <c r="G28" s="24" t="e">
        <f>SUM(G11:G27)</f>
        <v>#DIV/0!</v>
      </c>
      <c r="H28" s="107" t="e">
        <f>G28/E28</f>
        <v>#DIV/0!</v>
      </c>
      <c r="I28" s="8"/>
      <c r="J28" s="12" t="e">
        <f>SUM(J11:J27)</f>
        <v>#DIV/0!</v>
      </c>
      <c r="K28" s="8" t="s">
        <v>75</v>
      </c>
    </row>
    <row r="29" spans="1:11">
      <c r="B29" s="8"/>
      <c r="C29" s="8"/>
      <c r="D29" s="8"/>
      <c r="E29" s="8"/>
      <c r="F29" s="8"/>
      <c r="G29" s="8"/>
      <c r="H29" s="9" t="e">
        <f>données!L3-H28</f>
        <v>#DIV/0!</v>
      </c>
      <c r="I29" s="8"/>
      <c r="J29" s="8" t="e">
        <f>J28*2</f>
        <v>#DIV/0!</v>
      </c>
      <c r="K29" s="8" t="s">
        <v>77</v>
      </c>
    </row>
    <row r="30" spans="1:11">
      <c r="B30" s="8" t="s">
        <v>50</v>
      </c>
      <c r="C30" s="8" t="e">
        <f>J28/MAX(H28,H29)</f>
        <v>#DIV/0!</v>
      </c>
      <c r="D30" s="8" t="s">
        <v>75</v>
      </c>
      <c r="E30" s="8"/>
      <c r="F30" s="8"/>
      <c r="G30" s="8"/>
      <c r="H30" s="8"/>
      <c r="I30" s="8"/>
      <c r="J30" s="8" t="e">
        <f>J29/données!K3</f>
        <v>#DIV/0!</v>
      </c>
      <c r="K30" s="8" t="s">
        <v>103</v>
      </c>
    </row>
    <row r="31" spans="1:11">
      <c r="B31" s="8" t="s">
        <v>50</v>
      </c>
      <c r="C31" s="8" t="e">
        <f>2*C30</f>
        <v>#DIV/0!</v>
      </c>
      <c r="D31" s="8" t="s">
        <v>77</v>
      </c>
      <c r="E31" s="8"/>
      <c r="F31" s="8"/>
      <c r="G31" s="8"/>
      <c r="H31" s="8"/>
      <c r="I31" s="8"/>
      <c r="J31" s="8"/>
      <c r="K31" s="8"/>
    </row>
    <row r="32" spans="1:11">
      <c r="B32" s="8" t="s">
        <v>50</v>
      </c>
      <c r="C32" s="8" t="e">
        <f>C31/données!K3</f>
        <v>#DIV/0!</v>
      </c>
      <c r="D32" s="8" t="s">
        <v>78</v>
      </c>
      <c r="E32" s="8"/>
      <c r="F32" s="8"/>
      <c r="G32" s="8"/>
      <c r="H32" s="8"/>
      <c r="I32" s="8"/>
      <c r="J32" s="8"/>
      <c r="K32" s="8"/>
    </row>
    <row r="33" spans="2:11"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2:11">
      <c r="B34" s="8" t="s">
        <v>12</v>
      </c>
      <c r="C34" s="8" t="s">
        <v>12</v>
      </c>
      <c r="D34" s="8"/>
      <c r="E34" s="8"/>
      <c r="F34" s="8"/>
      <c r="G34" s="8"/>
      <c r="H34" s="8"/>
      <c r="I34" s="8"/>
      <c r="J34" s="8"/>
      <c r="K34" s="8"/>
    </row>
    <row r="35" spans="2:11">
      <c r="B35" s="79" t="e">
        <f>D3*C32*1</f>
        <v>#DIV/0!</v>
      </c>
      <c r="C35" s="79" t="s">
        <v>79</v>
      </c>
      <c r="D35" s="80"/>
      <c r="E35" s="80" t="e">
        <f>B35*0.965</f>
        <v>#DIV/0!</v>
      </c>
      <c r="F35" s="82">
        <v>7843.1501932231167</v>
      </c>
      <c r="G35" s="8"/>
      <c r="H35" s="8"/>
      <c r="I35" s="8"/>
      <c r="J35" s="8"/>
      <c r="K35" s="8"/>
    </row>
    <row r="36" spans="2:11">
      <c r="B36" s="46" t="e">
        <f>B35/1000</f>
        <v>#DIV/0!</v>
      </c>
      <c r="C36" t="s">
        <v>80</v>
      </c>
      <c r="D36" t="e">
        <f>(21.73-B36)/21.73</f>
        <v>#DIV/0!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orkbookViewId="0">
      <selection activeCell="H48" sqref="H48:O62"/>
    </sheetView>
  </sheetViews>
  <sheetFormatPr baseColWidth="10" defaultRowHeight="14" x14ac:dyDescent="0"/>
  <cols>
    <col min="2" max="2" width="5.5" bestFit="1" customWidth="1"/>
    <col min="3" max="3" width="4.5" bestFit="1" customWidth="1"/>
    <col min="4" max="4" width="11.33203125" bestFit="1" customWidth="1"/>
    <col min="5" max="5" width="10.33203125" bestFit="1" customWidth="1"/>
    <col min="6" max="6" width="4.5" bestFit="1" customWidth="1"/>
    <col min="7" max="7" width="6.83203125" customWidth="1"/>
    <col min="8" max="8" width="4.5" customWidth="1"/>
    <col min="9" max="9" width="5.5" bestFit="1" customWidth="1"/>
    <col min="10" max="10" width="7.1640625" customWidth="1"/>
    <col min="11" max="11" width="5.5" customWidth="1"/>
    <col min="12" max="12" width="7.6640625" customWidth="1"/>
    <col min="13" max="13" width="5.5" bestFit="1" customWidth="1"/>
    <col min="14" max="14" width="7.83203125" bestFit="1" customWidth="1"/>
    <col min="15" max="15" width="8.5" bestFit="1" customWidth="1"/>
  </cols>
  <sheetData>
    <row r="2" spans="2:15">
      <c r="B2" s="8" t="s">
        <v>15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7">
      <c r="B4" s="2" t="s">
        <v>18</v>
      </c>
      <c r="C4" s="2" t="s">
        <v>0</v>
      </c>
      <c r="D4" s="2" t="s">
        <v>17</v>
      </c>
      <c r="E4" s="2" t="s">
        <v>2</v>
      </c>
      <c r="F4" s="2" t="s">
        <v>1</v>
      </c>
      <c r="G4" s="41" t="s">
        <v>67</v>
      </c>
      <c r="H4" s="38" t="s">
        <v>63</v>
      </c>
      <c r="I4" s="2" t="s">
        <v>19</v>
      </c>
      <c r="J4" s="39" t="s">
        <v>65</v>
      </c>
      <c r="K4" s="40" t="s">
        <v>66</v>
      </c>
      <c r="L4" s="2" t="s">
        <v>64</v>
      </c>
      <c r="M4" s="2" t="s">
        <v>3</v>
      </c>
      <c r="N4" s="10" t="s">
        <v>20</v>
      </c>
      <c r="O4" s="10" t="s">
        <v>4</v>
      </c>
    </row>
    <row r="5" spans="2:15">
      <c r="B5" s="7">
        <f>largeur_eff_semelle!B5</f>
        <v>0</v>
      </c>
      <c r="C5" s="7">
        <f>données!E3</f>
        <v>0</v>
      </c>
      <c r="D5" s="36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MIN(D5,D5*(données!L3-'résistance_section (2)'!H28)/'résistance_section (2)'!H28)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56" t="e">
        <f>MAX(N5/2,données!C21)</f>
        <v>#DIV/0!</v>
      </c>
    </row>
    <row r="6" spans="2:15">
      <c r="B6" s="8"/>
      <c r="C6" s="8"/>
      <c r="D6" s="3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>
      <c r="B7" s="8"/>
      <c r="C7" s="8"/>
      <c r="D7" s="37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>
      <c r="B8" s="8"/>
      <c r="C8" s="8"/>
      <c r="D8" s="37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>
      <c r="B9" s="2"/>
      <c r="C9" s="2"/>
      <c r="D9" s="10"/>
      <c r="E9" s="2"/>
      <c r="F9" s="2"/>
      <c r="G9" s="41"/>
      <c r="H9" s="38"/>
      <c r="I9" s="2"/>
      <c r="J9" s="39"/>
      <c r="K9" s="40"/>
      <c r="L9" s="2"/>
      <c r="M9" s="2"/>
      <c r="N9" s="10"/>
      <c r="O9" s="10"/>
    </row>
    <row r="10" spans="2:15">
      <c r="B10" s="12"/>
      <c r="C10" s="7"/>
      <c r="D10" s="36"/>
      <c r="E10" s="7"/>
      <c r="F10" s="7"/>
      <c r="G10" s="7"/>
      <c r="H10" s="7"/>
      <c r="I10" s="11"/>
      <c r="J10" s="11"/>
      <c r="K10" s="11"/>
      <c r="L10" s="11"/>
      <c r="M10" s="11"/>
      <c r="N10" s="7"/>
      <c r="O10" s="5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orkbookViewId="0">
      <selection activeCell="H48" sqref="H48:O62"/>
    </sheetView>
  </sheetViews>
  <sheetFormatPr baseColWidth="10" defaultRowHeight="14" x14ac:dyDescent="0"/>
  <cols>
    <col min="2" max="2" width="11.5" bestFit="1" customWidth="1"/>
    <col min="3" max="3" width="7.6640625" bestFit="1" customWidth="1"/>
    <col min="4" max="4" width="8.33203125" bestFit="1" customWidth="1"/>
    <col min="5" max="5" width="11.1640625" customWidth="1"/>
    <col min="6" max="6" width="8.5" customWidth="1"/>
    <col min="7" max="7" width="10.33203125" bestFit="1" customWidth="1"/>
    <col min="8" max="8" width="7.5" bestFit="1" customWidth="1"/>
    <col min="11" max="11" width="14.83203125" bestFit="1" customWidth="1"/>
    <col min="12" max="12" width="17" customWidth="1"/>
    <col min="13" max="13" width="17" bestFit="1" customWidth="1"/>
    <col min="14" max="15" width="14.83203125" bestFit="1" customWidth="1"/>
    <col min="16" max="16" width="16.1640625" bestFit="1" customWidth="1"/>
    <col min="17" max="17" width="17" bestFit="1" customWidth="1"/>
    <col min="18" max="18" width="14.83203125" bestFit="1" customWidth="1"/>
  </cols>
  <sheetData>
    <row r="2" spans="1:18" ht="17">
      <c r="B2" s="2" t="s">
        <v>21</v>
      </c>
      <c r="C2" s="2" t="s">
        <v>18</v>
      </c>
      <c r="D2" s="2" t="s">
        <v>0</v>
      </c>
      <c r="E2" s="2" t="s">
        <v>2</v>
      </c>
      <c r="F2" s="8"/>
      <c r="G2" s="8"/>
      <c r="H2" s="8"/>
      <c r="I2" s="8"/>
    </row>
    <row r="3" spans="1:18">
      <c r="B3" s="7">
        <f>(données!C30+données!C31+données!C32+données!C33/2)*2</f>
        <v>0</v>
      </c>
      <c r="C3" s="7">
        <f>largeur_eff_semelle!B5</f>
        <v>0</v>
      </c>
      <c r="D3" s="2">
        <f>données!E3</f>
        <v>0</v>
      </c>
      <c r="E3" s="7">
        <f>données!H3</f>
        <v>0</v>
      </c>
      <c r="F3" s="8"/>
      <c r="G3" s="8"/>
      <c r="H3" s="8"/>
      <c r="I3" s="8"/>
    </row>
    <row r="4" spans="1:18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7">
      <c r="B5" s="13" t="s">
        <v>5</v>
      </c>
      <c r="C5" s="13" t="s">
        <v>39</v>
      </c>
      <c r="D5" s="13" t="s">
        <v>42</v>
      </c>
      <c r="E5" s="13" t="s">
        <v>40</v>
      </c>
      <c r="F5" s="13" t="s">
        <v>43</v>
      </c>
      <c r="G5" s="13" t="s">
        <v>41</v>
      </c>
      <c r="H5" s="13" t="s">
        <v>7</v>
      </c>
      <c r="I5" s="13" t="s">
        <v>44</v>
      </c>
      <c r="J5" s="8"/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13" t="s">
        <v>36</v>
      </c>
      <c r="R5" s="13"/>
    </row>
    <row r="6" spans="1:18" ht="17">
      <c r="A6" s="4"/>
      <c r="B6" s="13" t="s">
        <v>68</v>
      </c>
      <c r="C6" s="14">
        <f>15*D3-données!I19</f>
        <v>0</v>
      </c>
      <c r="D6" s="14">
        <f>C6*$D$3</f>
        <v>0</v>
      </c>
      <c r="E6" s="14">
        <v>0</v>
      </c>
      <c r="F6" s="14">
        <f>D6*E6</f>
        <v>0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37</v>
      </c>
      <c r="L6" s="2"/>
      <c r="M6" s="2" t="s">
        <v>38</v>
      </c>
      <c r="N6" s="2"/>
      <c r="O6" s="2" t="s">
        <v>82</v>
      </c>
      <c r="P6" s="2"/>
      <c r="Q6" s="2" t="s">
        <v>83</v>
      </c>
      <c r="R6" s="2"/>
    </row>
    <row r="7" spans="1:18">
      <c r="A7" s="4"/>
      <c r="B7" s="13">
        <v>2</v>
      </c>
      <c r="C7" s="14">
        <f>données!C33</f>
        <v>0</v>
      </c>
      <c r="D7" s="14">
        <f t="shared" ref="D7:D15" si="0">C7*$D$3</f>
        <v>0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>
      <c r="A8" s="4"/>
      <c r="B8" s="13">
        <v>3</v>
      </c>
      <c r="C8" s="14">
        <f>données!C32</f>
        <v>0</v>
      </c>
      <c r="D8" s="14">
        <f t="shared" si="0"/>
        <v>0</v>
      </c>
      <c r="E8" s="42">
        <f>données!N3/2</f>
        <v>0</v>
      </c>
      <c r="F8" s="14">
        <f t="shared" si="1"/>
        <v>0</v>
      </c>
      <c r="G8" s="15" t="e">
        <f t="shared" si="2"/>
        <v>#DIV/0!</v>
      </c>
      <c r="H8" s="15">
        <f>données!M32</f>
        <v>0</v>
      </c>
      <c r="I8" s="7" t="e">
        <f>D8*H8^2/12+D8*G8^2</f>
        <v>#DIV/0!</v>
      </c>
      <c r="J8" s="8"/>
      <c r="K8" s="8"/>
      <c r="L8" s="8"/>
    </row>
    <row r="9" spans="1:18">
      <c r="A9" s="4"/>
      <c r="B9" s="13">
        <v>4</v>
      </c>
      <c r="C9" s="14">
        <f>données!C31</f>
        <v>0</v>
      </c>
      <c r="D9" s="14">
        <f t="shared" si="0"/>
        <v>0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>
      <c r="A10" s="4"/>
      <c r="B10" s="13">
        <v>5</v>
      </c>
      <c r="C10" s="14">
        <f>données!C30</f>
        <v>0</v>
      </c>
      <c r="D10" s="14">
        <f t="shared" si="0"/>
        <v>0</v>
      </c>
      <c r="E10" s="42">
        <f>données!N3</f>
        <v>0</v>
      </c>
      <c r="F10" s="14">
        <f t="shared" si="1"/>
        <v>0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14</v>
      </c>
      <c r="L10" s="8" t="e">
        <f>F16/#REF!</f>
        <v>#DIV/0!</v>
      </c>
    </row>
    <row r="11" spans="1:18">
      <c r="A11" s="4"/>
      <c r="B11" s="13">
        <v>6</v>
      </c>
      <c r="C11" s="14">
        <f>C10</f>
        <v>0</v>
      </c>
      <c r="D11" s="14">
        <f t="shared" si="0"/>
        <v>0</v>
      </c>
      <c r="E11" s="16">
        <f>E10</f>
        <v>0</v>
      </c>
      <c r="F11" s="14">
        <f t="shared" si="1"/>
        <v>0</v>
      </c>
      <c r="G11" s="15" t="e">
        <f t="shared" si="2"/>
        <v>#DIV/0!</v>
      </c>
      <c r="H11" s="15">
        <f>H10</f>
        <v>0</v>
      </c>
      <c r="I11" s="54" t="e">
        <f>I10</f>
        <v>#DIV/0!</v>
      </c>
      <c r="J11" s="8"/>
    </row>
    <row r="12" spans="1:18">
      <c r="A12" s="4"/>
      <c r="B12" s="13">
        <v>7</v>
      </c>
      <c r="C12" s="14">
        <f>C9</f>
        <v>0</v>
      </c>
      <c r="D12" s="14">
        <f t="shared" si="0"/>
        <v>0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99" t="e">
        <f>I9</f>
        <v>#DIV/0!</v>
      </c>
      <c r="J12" s="8"/>
    </row>
    <row r="13" spans="1:18">
      <c r="A13" s="4"/>
      <c r="B13" s="13">
        <v>8</v>
      </c>
      <c r="C13" s="14">
        <f>C8</f>
        <v>0</v>
      </c>
      <c r="D13" s="14">
        <f t="shared" si="0"/>
        <v>0</v>
      </c>
      <c r="E13" s="14">
        <f>E8</f>
        <v>0</v>
      </c>
      <c r="F13" s="14">
        <f t="shared" si="1"/>
        <v>0</v>
      </c>
      <c r="G13" s="15" t="e">
        <f t="shared" si="2"/>
        <v>#DIV/0!</v>
      </c>
      <c r="H13" s="14">
        <f>H8</f>
        <v>0</v>
      </c>
      <c r="I13" s="100" t="e">
        <f>I8</f>
        <v>#DIV/0!</v>
      </c>
      <c r="J13" s="8"/>
    </row>
    <row r="14" spans="1:18">
      <c r="A14" s="4"/>
      <c r="B14" s="13">
        <v>9</v>
      </c>
      <c r="C14" s="14">
        <f>C7</f>
        <v>0</v>
      </c>
      <c r="D14" s="14">
        <f t="shared" si="0"/>
        <v>0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01" t="e">
        <f>I7</f>
        <v>#DIV/0!</v>
      </c>
      <c r="J14" s="8"/>
    </row>
    <row r="15" spans="1:18">
      <c r="B15" s="13" t="s">
        <v>69</v>
      </c>
      <c r="C15" s="14">
        <f>15*D3-données!I19</f>
        <v>0</v>
      </c>
      <c r="D15" s="14">
        <f t="shared" si="0"/>
        <v>0</v>
      </c>
      <c r="E15" s="14">
        <v>0</v>
      </c>
      <c r="F15" s="14">
        <f t="shared" si="1"/>
        <v>0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>
      <c r="B16" s="25" t="s">
        <v>6</v>
      </c>
      <c r="C16" s="16"/>
      <c r="D16" s="26">
        <f>SUM(D6:D15)</f>
        <v>0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>
      <c r="B17" s="18"/>
      <c r="C17" s="17"/>
      <c r="D17" s="17"/>
      <c r="E17" s="17"/>
      <c r="F17" s="17"/>
      <c r="G17" s="17"/>
      <c r="H17" s="17"/>
      <c r="I17" s="108"/>
      <c r="J17" s="8"/>
    </row>
    <row r="18" spans="1:18" ht="17">
      <c r="B18" s="13" t="s">
        <v>5</v>
      </c>
      <c r="C18" s="13" t="s">
        <v>39</v>
      </c>
      <c r="D18" s="13" t="s">
        <v>42</v>
      </c>
      <c r="E18" s="13"/>
      <c r="F18" s="13"/>
      <c r="G18" s="13"/>
      <c r="H18" s="13"/>
      <c r="I18" s="13"/>
      <c r="J18" s="8"/>
      <c r="K18" s="13" t="s">
        <v>30</v>
      </c>
      <c r="L18" s="13" t="s">
        <v>31</v>
      </c>
      <c r="M18" s="13" t="s">
        <v>32</v>
      </c>
      <c r="N18" s="13" t="s">
        <v>33</v>
      </c>
      <c r="O18" s="13" t="s">
        <v>34</v>
      </c>
      <c r="P18" s="13" t="s">
        <v>35</v>
      </c>
      <c r="Q18" s="13" t="s">
        <v>36</v>
      </c>
      <c r="R18" s="13"/>
    </row>
    <row r="19" spans="1:18" ht="17">
      <c r="A19" s="4"/>
      <c r="B19" s="13" t="s">
        <v>68</v>
      </c>
      <c r="C19" s="14" t="e">
        <f>'largeur_eff_semelle (3)'!O5-données!I19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37</v>
      </c>
      <c r="L19" s="2"/>
      <c r="M19" s="2" t="s">
        <v>38</v>
      </c>
      <c r="N19" s="2"/>
      <c r="O19" s="2" t="s">
        <v>82</v>
      </c>
      <c r="P19" s="2"/>
      <c r="Q19" s="2" t="s">
        <v>83</v>
      </c>
      <c r="R19" s="2"/>
    </row>
    <row r="20" spans="1:18">
      <c r="A20" s="4"/>
      <c r="B20" s="13">
        <v>2</v>
      </c>
      <c r="C20" s="14">
        <f>C7</f>
        <v>0</v>
      </c>
      <c r="D20" s="14">
        <f t="shared" ref="D20:D28" si="3">C20*$D$3</f>
        <v>0</v>
      </c>
      <c r="E20" s="14"/>
      <c r="F20" s="14"/>
      <c r="G20" s="15"/>
      <c r="H20" s="15"/>
      <c r="I20" s="6"/>
      <c r="J20" s="8"/>
      <c r="K20" s="8"/>
      <c r="L20" s="8"/>
    </row>
    <row r="21" spans="1:18">
      <c r="A21" s="4"/>
      <c r="B21" s="13">
        <v>3</v>
      </c>
      <c r="C21" s="14">
        <f t="shared" ref="C21:C27" si="4">C8</f>
        <v>0</v>
      </c>
      <c r="D21" s="14">
        <f t="shared" si="3"/>
        <v>0</v>
      </c>
      <c r="E21" s="42"/>
      <c r="F21" s="14"/>
      <c r="G21" s="15"/>
      <c r="H21" s="15"/>
      <c r="I21" s="7"/>
      <c r="J21" s="8"/>
      <c r="K21" s="8"/>
      <c r="L21" s="8"/>
    </row>
    <row r="22" spans="1:18">
      <c r="A22" s="4"/>
      <c r="B22" s="13">
        <v>4</v>
      </c>
      <c r="C22" s="14">
        <f t="shared" si="4"/>
        <v>0</v>
      </c>
      <c r="D22" s="14">
        <f t="shared" si="3"/>
        <v>0</v>
      </c>
      <c r="E22" s="16"/>
      <c r="F22" s="14"/>
      <c r="G22" s="15"/>
      <c r="H22" s="15"/>
      <c r="I22" s="6"/>
      <c r="J22" s="8"/>
      <c r="K22" s="8"/>
      <c r="L22" s="8"/>
    </row>
    <row r="23" spans="1:18">
      <c r="A23" s="4"/>
      <c r="B23" s="13">
        <v>5</v>
      </c>
      <c r="C23" s="14">
        <f t="shared" si="4"/>
        <v>0</v>
      </c>
      <c r="D23" s="14">
        <f t="shared" si="3"/>
        <v>0</v>
      </c>
      <c r="E23" s="42"/>
      <c r="F23" s="14"/>
      <c r="G23" s="15"/>
      <c r="H23" s="15"/>
      <c r="I23" s="7"/>
      <c r="J23" s="8"/>
      <c r="K23" s="8" t="s">
        <v>14</v>
      </c>
      <c r="L23" s="8" t="e">
        <f>F29/#REF!</f>
        <v>#REF!</v>
      </c>
    </row>
    <row r="24" spans="1:18">
      <c r="A24" s="4"/>
      <c r="B24" s="13">
        <v>6</v>
      </c>
      <c r="C24" s="14">
        <f t="shared" si="4"/>
        <v>0</v>
      </c>
      <c r="D24" s="14">
        <f t="shared" si="3"/>
        <v>0</v>
      </c>
      <c r="E24" s="16"/>
      <c r="F24" s="14"/>
      <c r="G24" s="15"/>
      <c r="H24" s="15"/>
      <c r="I24" s="54"/>
      <c r="J24" s="8"/>
    </row>
    <row r="25" spans="1:18">
      <c r="A25" s="4"/>
      <c r="B25" s="13">
        <v>7</v>
      </c>
      <c r="C25" s="14">
        <f t="shared" si="4"/>
        <v>0</v>
      </c>
      <c r="D25" s="14">
        <f t="shared" si="3"/>
        <v>0</v>
      </c>
      <c r="E25" s="14"/>
      <c r="F25" s="14"/>
      <c r="G25" s="15"/>
      <c r="H25" s="14"/>
      <c r="I25" s="99"/>
      <c r="J25" s="8"/>
    </row>
    <row r="26" spans="1:18">
      <c r="A26" s="4"/>
      <c r="B26" s="13">
        <v>8</v>
      </c>
      <c r="C26" s="14">
        <f t="shared" si="4"/>
        <v>0</v>
      </c>
      <c r="D26" s="14">
        <f t="shared" si="3"/>
        <v>0</v>
      </c>
      <c r="E26" s="14"/>
      <c r="F26" s="14"/>
      <c r="G26" s="15"/>
      <c r="H26" s="14"/>
      <c r="I26" s="100"/>
      <c r="J26" s="8"/>
    </row>
    <row r="27" spans="1:18">
      <c r="A27" s="4"/>
      <c r="B27" s="13">
        <v>9</v>
      </c>
      <c r="C27" s="14">
        <f t="shared" si="4"/>
        <v>0</v>
      </c>
      <c r="D27" s="14">
        <f t="shared" si="3"/>
        <v>0</v>
      </c>
      <c r="E27" s="14"/>
      <c r="F27" s="14"/>
      <c r="G27" s="15"/>
      <c r="H27" s="14"/>
      <c r="I27" s="101"/>
      <c r="J27" s="8"/>
    </row>
    <row r="28" spans="1:18">
      <c r="B28" s="13" t="s">
        <v>69</v>
      </c>
      <c r="C28" s="14" t="e">
        <f>'largeur_eff_semelle (3)'!O5-données!I19</f>
        <v>#DIV/0!</v>
      </c>
      <c r="D28" s="14" t="e">
        <f t="shared" si="3"/>
        <v>#DIV/0!</v>
      </c>
      <c r="E28" s="14"/>
      <c r="F28" s="14"/>
      <c r="G28" s="15"/>
      <c r="H28" s="15"/>
      <c r="I28" s="57"/>
      <c r="J28" s="8"/>
    </row>
    <row r="29" spans="1:18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>
      <c r="B30" s="18"/>
      <c r="C30" s="17"/>
      <c r="D30" s="17"/>
      <c r="E30" s="17"/>
      <c r="F30" s="17"/>
      <c r="G30" s="17"/>
      <c r="H30" s="17"/>
      <c r="I30" s="108"/>
      <c r="J30" s="8"/>
    </row>
    <row r="31" spans="1:18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7">
      <c r="B32" s="2" t="s">
        <v>91</v>
      </c>
      <c r="C32" s="2"/>
      <c r="D32" s="2" t="s">
        <v>22</v>
      </c>
      <c r="E32" s="2" t="s">
        <v>23</v>
      </c>
      <c r="F32" s="2" t="s">
        <v>24</v>
      </c>
      <c r="G32" s="2" t="s">
        <v>25</v>
      </c>
      <c r="H32" s="2" t="s">
        <v>87</v>
      </c>
      <c r="I32" s="2" t="s">
        <v>26</v>
      </c>
      <c r="J32" s="8"/>
      <c r="K32" s="8"/>
      <c r="L32" s="8"/>
    </row>
    <row r="33" spans="2:12">
      <c r="B33" s="7">
        <f>2*C3+B3</f>
        <v>0</v>
      </c>
      <c r="C33" s="7"/>
      <c r="D33" s="7">
        <f>data!J6</f>
        <v>0</v>
      </c>
      <c r="E33" s="7">
        <f>données!M3</f>
        <v>0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58" t="e">
        <f>IF(G33&gt;2,H33,(H33-(H33-1)*(2*F33/E33-(F33/E33)^2)))</f>
        <v>#DIV/0!</v>
      </c>
      <c r="J33" s="8"/>
      <c r="K33" s="8"/>
      <c r="L33" s="8"/>
    </row>
    <row r="34" spans="2:1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7">
      <c r="B35" s="2" t="s">
        <v>45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7">
      <c r="B38" s="2" t="s">
        <v>17</v>
      </c>
      <c r="C38" s="2" t="s">
        <v>9</v>
      </c>
      <c r="D38" s="2" t="s">
        <v>88</v>
      </c>
      <c r="E38" s="2" t="s">
        <v>89</v>
      </c>
    </row>
    <row r="39" spans="2:12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7">
      <c r="B41" s="7" t="s">
        <v>10</v>
      </c>
      <c r="C41" s="13" t="s">
        <v>51</v>
      </c>
      <c r="E41" s="2" t="s">
        <v>109</v>
      </c>
    </row>
    <row r="42" spans="2:12">
      <c r="B42" s="59" t="e">
        <f>E39</f>
        <v>#DIV/0!</v>
      </c>
      <c r="C42" s="14" t="e">
        <f>B42*données!E3*B39/'largeur_eff_semelle (3)'!K5/'largeur_eff_semelle (3)'!J5</f>
        <v>#DIV/0!</v>
      </c>
      <c r="E42" t="e">
        <f>B39/'largeur_eff_semelle (3)'!K5/'largeur_eff_semelle (3)'!J5</f>
        <v>#DIV/0!</v>
      </c>
      <c r="G42" s="65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"/>
  <sheetViews>
    <sheetView topLeftCell="I1" zoomScale="150" zoomScaleNormal="150" zoomScalePageLayoutView="150" workbookViewId="0">
      <selection activeCell="H48" sqref="H48:O62"/>
    </sheetView>
  </sheetViews>
  <sheetFormatPr baseColWidth="10" defaultRowHeight="14" x14ac:dyDescent="0"/>
  <cols>
    <col min="2" max="2" width="5.5" bestFit="1" customWidth="1"/>
    <col min="3" max="3" width="4.5" bestFit="1" customWidth="1"/>
    <col min="4" max="4" width="11.33203125" bestFit="1" customWidth="1"/>
    <col min="5" max="5" width="10.33203125" bestFit="1" customWidth="1"/>
    <col min="6" max="6" width="4.5" bestFit="1" customWidth="1"/>
    <col min="7" max="7" width="6.83203125" customWidth="1"/>
    <col min="8" max="8" width="4.5" customWidth="1"/>
    <col min="9" max="9" width="5.5" bestFit="1" customWidth="1"/>
    <col min="10" max="10" width="7.1640625" customWidth="1"/>
    <col min="11" max="11" width="5.5" customWidth="1"/>
    <col min="12" max="12" width="7.6640625" customWidth="1"/>
    <col min="13" max="13" width="5.5" bestFit="1" customWidth="1"/>
    <col min="14" max="14" width="7.83203125" bestFit="1" customWidth="1"/>
    <col min="15" max="15" width="8.5" bestFit="1" customWidth="1"/>
  </cols>
  <sheetData>
    <row r="2" spans="2: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7">
      <c r="B4" s="2" t="s">
        <v>18</v>
      </c>
      <c r="C4" s="2" t="s">
        <v>0</v>
      </c>
      <c r="D4" s="2" t="s">
        <v>17</v>
      </c>
      <c r="E4" s="2" t="s">
        <v>2</v>
      </c>
      <c r="F4" s="2" t="s">
        <v>1</v>
      </c>
      <c r="G4" s="41" t="s">
        <v>67</v>
      </c>
      <c r="H4" s="38" t="s">
        <v>63</v>
      </c>
      <c r="I4" s="2" t="s">
        <v>19</v>
      </c>
      <c r="J4" s="39" t="s">
        <v>65</v>
      </c>
      <c r="K4" s="40" t="s">
        <v>66</v>
      </c>
      <c r="L4" s="2" t="s">
        <v>64</v>
      </c>
      <c r="M4" s="2" t="s">
        <v>3</v>
      </c>
      <c r="N4" s="10" t="s">
        <v>20</v>
      </c>
      <c r="O4" s="10" t="s">
        <v>107</v>
      </c>
    </row>
    <row r="5" spans="2:15">
      <c r="B5" s="7">
        <f>données!$C$8</f>
        <v>0</v>
      </c>
      <c r="C5" s="7">
        <f>données!$E$3</f>
        <v>0</v>
      </c>
      <c r="D5" s="36">
        <f>données!$G$3</f>
        <v>0</v>
      </c>
      <c r="E5" s="7">
        <f>données!H$3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'raidisseur (3)'!B42*D5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56" t="e">
        <f>N5/2</f>
        <v>#DIV/0!</v>
      </c>
    </row>
    <row r="6" spans="2:15">
      <c r="B6" s="8"/>
      <c r="C6" s="8"/>
      <c r="D6" s="3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orkbookViewId="0">
      <selection activeCell="H48" sqref="H48:O62"/>
    </sheetView>
  </sheetViews>
  <sheetFormatPr baseColWidth="10" defaultRowHeight="14" x14ac:dyDescent="0"/>
  <cols>
    <col min="2" max="2" width="11.5" bestFit="1" customWidth="1"/>
    <col min="3" max="3" width="7.6640625" bestFit="1" customWidth="1"/>
    <col min="4" max="4" width="8.33203125" bestFit="1" customWidth="1"/>
    <col min="5" max="5" width="11.1640625" customWidth="1"/>
    <col min="6" max="6" width="8.5" customWidth="1"/>
    <col min="7" max="7" width="10.33203125" bestFit="1" customWidth="1"/>
    <col min="8" max="8" width="7.5" bestFit="1" customWidth="1"/>
    <col min="11" max="11" width="14.83203125" bestFit="1" customWidth="1"/>
    <col min="12" max="12" width="17" customWidth="1"/>
    <col min="13" max="13" width="17" bestFit="1" customWidth="1"/>
    <col min="14" max="15" width="14.83203125" bestFit="1" customWidth="1"/>
    <col min="16" max="16" width="16.1640625" bestFit="1" customWidth="1"/>
    <col min="17" max="17" width="17" bestFit="1" customWidth="1"/>
    <col min="18" max="18" width="14.83203125" bestFit="1" customWidth="1"/>
  </cols>
  <sheetData>
    <row r="2" spans="1:18" ht="17">
      <c r="B2" s="2" t="s">
        <v>21</v>
      </c>
      <c r="C2" s="2" t="s">
        <v>18</v>
      </c>
      <c r="D2" s="2" t="s">
        <v>0</v>
      </c>
      <c r="E2" s="2" t="s">
        <v>2</v>
      </c>
      <c r="F2" s="8"/>
      <c r="G2" s="8"/>
      <c r="H2" s="8"/>
      <c r="I2" s="8"/>
    </row>
    <row r="3" spans="1:18">
      <c r="B3" s="7">
        <f>(données!C30+données!C31+données!C32+données!C33/2)*2</f>
        <v>0</v>
      </c>
      <c r="C3" s="7">
        <f>largeur_eff_semelle!B5</f>
        <v>0</v>
      </c>
      <c r="D3" s="2">
        <f>données!E3</f>
        <v>0</v>
      </c>
      <c r="E3" s="7">
        <f>données!H3</f>
        <v>0</v>
      </c>
      <c r="F3" s="8"/>
      <c r="G3" s="8"/>
      <c r="H3" s="8"/>
      <c r="I3" s="8"/>
    </row>
    <row r="4" spans="1:18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7">
      <c r="B5" s="13" t="s">
        <v>5</v>
      </c>
      <c r="C5" s="13" t="s">
        <v>39</v>
      </c>
      <c r="D5" s="13" t="s">
        <v>42</v>
      </c>
      <c r="E5" s="13" t="s">
        <v>40</v>
      </c>
      <c r="F5" s="13" t="s">
        <v>43</v>
      </c>
      <c r="G5" s="13" t="s">
        <v>41</v>
      </c>
      <c r="H5" s="13" t="s">
        <v>7</v>
      </c>
      <c r="I5" s="13" t="s">
        <v>44</v>
      </c>
      <c r="J5" s="8"/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13" t="s">
        <v>36</v>
      </c>
      <c r="R5" s="13"/>
    </row>
    <row r="6" spans="1:18" ht="17">
      <c r="A6" s="4"/>
      <c r="B6" s="13" t="s">
        <v>68</v>
      </c>
      <c r="C6" s="14">
        <f>15*D3-données!I19</f>
        <v>0</v>
      </c>
      <c r="D6" s="14">
        <f>C6*$D$3</f>
        <v>0</v>
      </c>
      <c r="E6" s="14">
        <v>0</v>
      </c>
      <c r="F6" s="14">
        <f>D6*E6</f>
        <v>0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37</v>
      </c>
      <c r="L6" s="2"/>
      <c r="M6" s="2" t="s">
        <v>38</v>
      </c>
      <c r="N6" s="2"/>
      <c r="O6" s="2" t="s">
        <v>82</v>
      </c>
      <c r="P6" s="2"/>
      <c r="Q6" s="2" t="s">
        <v>83</v>
      </c>
      <c r="R6" s="2"/>
    </row>
    <row r="7" spans="1:18">
      <c r="A7" s="4"/>
      <c r="B7" s="13">
        <v>2</v>
      </c>
      <c r="C7" s="14">
        <f>données!C33</f>
        <v>0</v>
      </c>
      <c r="D7" s="14">
        <f t="shared" ref="D7:D15" si="0">C7*$D$3</f>
        <v>0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>
      <c r="A8" s="4"/>
      <c r="B8" s="13">
        <v>3</v>
      </c>
      <c r="C8" s="14">
        <f>données!C32</f>
        <v>0</v>
      </c>
      <c r="D8" s="14">
        <f t="shared" si="0"/>
        <v>0</v>
      </c>
      <c r="E8" s="42">
        <f>données!N3/2</f>
        <v>0</v>
      </c>
      <c r="F8" s="14">
        <f t="shared" si="1"/>
        <v>0</v>
      </c>
      <c r="G8" s="15" t="e">
        <f t="shared" si="2"/>
        <v>#DIV/0!</v>
      </c>
      <c r="H8" s="15">
        <f>données!M32</f>
        <v>0</v>
      </c>
      <c r="I8" s="7" t="e">
        <f>D8*H8^2/12+D8*G8^2</f>
        <v>#DIV/0!</v>
      </c>
      <c r="J8" s="8"/>
      <c r="K8" s="8"/>
      <c r="L8" s="8"/>
    </row>
    <row r="9" spans="1:18">
      <c r="A9" s="4"/>
      <c r="B9" s="13">
        <v>4</v>
      </c>
      <c r="C9" s="14">
        <f>données!C31</f>
        <v>0</v>
      </c>
      <c r="D9" s="14">
        <f t="shared" si="0"/>
        <v>0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>
      <c r="A10" s="4"/>
      <c r="B10" s="13">
        <v>5</v>
      </c>
      <c r="C10" s="14">
        <f>données!C30</f>
        <v>0</v>
      </c>
      <c r="D10" s="14">
        <f t="shared" si="0"/>
        <v>0</v>
      </c>
      <c r="E10" s="42">
        <f>données!N3</f>
        <v>0</v>
      </c>
      <c r="F10" s="14">
        <f t="shared" si="1"/>
        <v>0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14</v>
      </c>
      <c r="L10" s="8" t="e">
        <f>F16/#REF!</f>
        <v>#DIV/0!</v>
      </c>
    </row>
    <row r="11" spans="1:18">
      <c r="A11" s="4"/>
      <c r="B11" s="13">
        <v>6</v>
      </c>
      <c r="C11" s="14">
        <f>C10</f>
        <v>0</v>
      </c>
      <c r="D11" s="14">
        <f t="shared" si="0"/>
        <v>0</v>
      </c>
      <c r="E11" s="16">
        <f>E10</f>
        <v>0</v>
      </c>
      <c r="F11" s="14">
        <f t="shared" si="1"/>
        <v>0</v>
      </c>
      <c r="G11" s="15" t="e">
        <f t="shared" si="2"/>
        <v>#DIV/0!</v>
      </c>
      <c r="H11" s="15">
        <f>H10</f>
        <v>0</v>
      </c>
      <c r="I11" s="54" t="e">
        <f>I10</f>
        <v>#DIV/0!</v>
      </c>
      <c r="J11" s="8"/>
    </row>
    <row r="12" spans="1:18">
      <c r="A12" s="4"/>
      <c r="B12" s="13">
        <v>7</v>
      </c>
      <c r="C12" s="14">
        <f>C9</f>
        <v>0</v>
      </c>
      <c r="D12" s="14">
        <f t="shared" si="0"/>
        <v>0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99" t="e">
        <f>I9</f>
        <v>#DIV/0!</v>
      </c>
      <c r="J12" s="8"/>
    </row>
    <row r="13" spans="1:18">
      <c r="A13" s="4"/>
      <c r="B13" s="13">
        <v>8</v>
      </c>
      <c r="C13" s="14">
        <f>C8</f>
        <v>0</v>
      </c>
      <c r="D13" s="14">
        <f t="shared" si="0"/>
        <v>0</v>
      </c>
      <c r="E13" s="14">
        <f>E8</f>
        <v>0</v>
      </c>
      <c r="F13" s="14">
        <f t="shared" si="1"/>
        <v>0</v>
      </c>
      <c r="G13" s="15" t="e">
        <f t="shared" si="2"/>
        <v>#DIV/0!</v>
      </c>
      <c r="H13" s="14">
        <f>H8</f>
        <v>0</v>
      </c>
      <c r="I13" s="100" t="e">
        <f>I8</f>
        <v>#DIV/0!</v>
      </c>
      <c r="J13" s="8"/>
    </row>
    <row r="14" spans="1:18">
      <c r="A14" s="4"/>
      <c r="B14" s="13">
        <v>9</v>
      </c>
      <c r="C14" s="14">
        <f>C7</f>
        <v>0</v>
      </c>
      <c r="D14" s="14">
        <f t="shared" si="0"/>
        <v>0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01" t="e">
        <f>I7</f>
        <v>#DIV/0!</v>
      </c>
      <c r="J14" s="8"/>
    </row>
    <row r="15" spans="1:18">
      <c r="B15" s="13" t="s">
        <v>69</v>
      </c>
      <c r="C15" s="14">
        <f>15*D3-données!I19</f>
        <v>0</v>
      </c>
      <c r="D15" s="14">
        <f t="shared" si="0"/>
        <v>0</v>
      </c>
      <c r="E15" s="14">
        <v>0</v>
      </c>
      <c r="F15" s="14">
        <f t="shared" si="1"/>
        <v>0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>
      <c r="B16" s="25" t="s">
        <v>6</v>
      </c>
      <c r="C16" s="16"/>
      <c r="D16" s="26">
        <f>SUM(D6:D15)</f>
        <v>0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>
      <c r="B17" s="18"/>
      <c r="C17" s="17"/>
      <c r="D17" s="17"/>
      <c r="E17" s="17"/>
      <c r="F17" s="17"/>
      <c r="G17" s="17"/>
      <c r="H17" s="17"/>
      <c r="I17" s="108"/>
      <c r="J17" s="8"/>
    </row>
    <row r="18" spans="1:18" ht="17">
      <c r="B18" s="13" t="s">
        <v>5</v>
      </c>
      <c r="C18" s="13" t="s">
        <v>39</v>
      </c>
      <c r="D18" s="13" t="s">
        <v>42</v>
      </c>
      <c r="E18" s="13"/>
      <c r="F18" s="13"/>
      <c r="G18" s="13"/>
      <c r="H18" s="13"/>
      <c r="I18" s="13"/>
      <c r="J18" s="8"/>
      <c r="K18" s="13" t="s">
        <v>30</v>
      </c>
      <c r="L18" s="13" t="s">
        <v>31</v>
      </c>
      <c r="M18" s="13" t="s">
        <v>32</v>
      </c>
      <c r="N18" s="13" t="s">
        <v>33</v>
      </c>
      <c r="O18" s="13" t="s">
        <v>34</v>
      </c>
      <c r="P18" s="13" t="s">
        <v>35</v>
      </c>
      <c r="Q18" s="13" t="s">
        <v>36</v>
      </c>
      <c r="R18" s="13"/>
    </row>
    <row r="19" spans="1:18" ht="17">
      <c r="A19" s="4"/>
      <c r="B19" s="13" t="s">
        <v>68</v>
      </c>
      <c r="C19" s="14" t="e">
        <f>'largeur_eff_semelle bis (3)'!O5-données!I19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37</v>
      </c>
      <c r="L19" s="2"/>
      <c r="M19" s="2" t="s">
        <v>38</v>
      </c>
      <c r="N19" s="2"/>
      <c r="O19" s="2" t="s">
        <v>82</v>
      </c>
      <c r="P19" s="2"/>
      <c r="Q19" s="2" t="s">
        <v>83</v>
      </c>
      <c r="R19" s="2"/>
    </row>
    <row r="20" spans="1:18">
      <c r="A20" s="4"/>
      <c r="B20" s="13">
        <v>2</v>
      </c>
      <c r="C20" s="14">
        <f>C7</f>
        <v>0</v>
      </c>
      <c r="D20" s="14">
        <f t="shared" ref="D20:D28" si="3">C20*$D$3</f>
        <v>0</v>
      </c>
      <c r="E20" s="14"/>
      <c r="F20" s="14"/>
      <c r="G20" s="15"/>
      <c r="H20" s="15"/>
      <c r="I20" s="6"/>
      <c r="J20" s="8"/>
      <c r="K20" s="8"/>
      <c r="L20" s="8"/>
    </row>
    <row r="21" spans="1:18">
      <c r="A21" s="4"/>
      <c r="B21" s="13">
        <v>3</v>
      </c>
      <c r="C21" s="14">
        <f t="shared" ref="C21:C27" si="4">C8</f>
        <v>0</v>
      </c>
      <c r="D21" s="14">
        <f t="shared" si="3"/>
        <v>0</v>
      </c>
      <c r="E21" s="42"/>
      <c r="F21" s="14"/>
      <c r="G21" s="15"/>
      <c r="H21" s="15"/>
      <c r="I21" s="7"/>
      <c r="J21" s="8"/>
      <c r="K21" s="8"/>
      <c r="L21" s="8"/>
    </row>
    <row r="22" spans="1:18">
      <c r="A22" s="4"/>
      <c r="B22" s="13">
        <v>4</v>
      </c>
      <c r="C22" s="14">
        <f t="shared" si="4"/>
        <v>0</v>
      </c>
      <c r="D22" s="14">
        <f t="shared" si="3"/>
        <v>0</v>
      </c>
      <c r="E22" s="16"/>
      <c r="F22" s="14"/>
      <c r="G22" s="15"/>
      <c r="H22" s="15"/>
      <c r="I22" s="6"/>
      <c r="J22" s="8"/>
      <c r="K22" s="8"/>
      <c r="L22" s="8"/>
    </row>
    <row r="23" spans="1:18">
      <c r="A23" s="4"/>
      <c r="B23" s="13">
        <v>5</v>
      </c>
      <c r="C23" s="14">
        <f t="shared" si="4"/>
        <v>0</v>
      </c>
      <c r="D23" s="14">
        <f t="shared" si="3"/>
        <v>0</v>
      </c>
      <c r="E23" s="42"/>
      <c r="F23" s="14"/>
      <c r="G23" s="15"/>
      <c r="H23" s="15"/>
      <c r="I23" s="7"/>
      <c r="J23" s="8"/>
      <c r="K23" s="8" t="s">
        <v>14</v>
      </c>
      <c r="L23" s="8" t="e">
        <f>F29/#REF!</f>
        <v>#REF!</v>
      </c>
    </row>
    <row r="24" spans="1:18">
      <c r="A24" s="4"/>
      <c r="B24" s="13">
        <v>6</v>
      </c>
      <c r="C24" s="14">
        <f t="shared" si="4"/>
        <v>0</v>
      </c>
      <c r="D24" s="14">
        <f t="shared" si="3"/>
        <v>0</v>
      </c>
      <c r="E24" s="16"/>
      <c r="F24" s="14"/>
      <c r="G24" s="15"/>
      <c r="H24" s="15"/>
      <c r="I24" s="54"/>
      <c r="J24" s="8"/>
    </row>
    <row r="25" spans="1:18">
      <c r="A25" s="4"/>
      <c r="B25" s="13">
        <v>7</v>
      </c>
      <c r="C25" s="14">
        <f t="shared" si="4"/>
        <v>0</v>
      </c>
      <c r="D25" s="14">
        <f t="shared" si="3"/>
        <v>0</v>
      </c>
      <c r="E25" s="14"/>
      <c r="F25" s="14"/>
      <c r="G25" s="15"/>
      <c r="H25" s="14"/>
      <c r="I25" s="99"/>
      <c r="J25" s="8"/>
    </row>
    <row r="26" spans="1:18">
      <c r="A26" s="4"/>
      <c r="B26" s="13">
        <v>8</v>
      </c>
      <c r="C26" s="14">
        <f t="shared" si="4"/>
        <v>0</v>
      </c>
      <c r="D26" s="14">
        <f t="shared" si="3"/>
        <v>0</v>
      </c>
      <c r="E26" s="14"/>
      <c r="F26" s="14"/>
      <c r="G26" s="15"/>
      <c r="H26" s="14"/>
      <c r="I26" s="100"/>
      <c r="J26" s="8"/>
    </row>
    <row r="27" spans="1:18">
      <c r="A27" s="4"/>
      <c r="B27" s="13">
        <v>9</v>
      </c>
      <c r="C27" s="14">
        <f t="shared" si="4"/>
        <v>0</v>
      </c>
      <c r="D27" s="14">
        <f t="shared" si="3"/>
        <v>0</v>
      </c>
      <c r="E27" s="14"/>
      <c r="F27" s="14"/>
      <c r="G27" s="15"/>
      <c r="H27" s="14"/>
      <c r="I27" s="101"/>
      <c r="J27" s="8"/>
    </row>
    <row r="28" spans="1:18">
      <c r="B28" s="13" t="s">
        <v>69</v>
      </c>
      <c r="C28" s="14" t="e">
        <f>'largeur_eff_semelle bis (3)'!O5-données!I19</f>
        <v>#DIV/0!</v>
      </c>
      <c r="D28" s="14" t="e">
        <f t="shared" si="3"/>
        <v>#DIV/0!</v>
      </c>
      <c r="E28" s="14"/>
      <c r="F28" s="14"/>
      <c r="G28" s="15"/>
      <c r="H28" s="15"/>
      <c r="I28" s="57"/>
      <c r="J28" s="8"/>
    </row>
    <row r="29" spans="1:18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>
      <c r="B30" s="18"/>
      <c r="C30" s="17"/>
      <c r="D30" s="17"/>
      <c r="E30" s="17"/>
      <c r="F30" s="17"/>
      <c r="G30" s="17"/>
      <c r="H30" s="17"/>
      <c r="I30" s="108"/>
      <c r="J30" s="8"/>
    </row>
    <row r="31" spans="1:18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7">
      <c r="B32" s="2" t="s">
        <v>91</v>
      </c>
      <c r="C32" s="2"/>
      <c r="D32" s="2" t="s">
        <v>22</v>
      </c>
      <c r="E32" s="2" t="s">
        <v>23</v>
      </c>
      <c r="F32" s="2" t="s">
        <v>24</v>
      </c>
      <c r="G32" s="2" t="s">
        <v>25</v>
      </c>
      <c r="H32" s="2" t="s">
        <v>87</v>
      </c>
      <c r="I32" s="2" t="s">
        <v>26</v>
      </c>
      <c r="J32" s="8"/>
      <c r="K32" s="8"/>
      <c r="L32" s="8"/>
    </row>
    <row r="33" spans="2:12">
      <c r="B33" s="7">
        <f>2*C3+B3</f>
        <v>0</v>
      </c>
      <c r="C33" s="7"/>
      <c r="D33" s="7">
        <f>data!J6</f>
        <v>0</v>
      </c>
      <c r="E33" s="7">
        <f>données!M3</f>
        <v>0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58" t="e">
        <f>IF(G33&gt;2,H33,(H33-(H33-1)*(2*F33/E33-(F33/E33)^2)))</f>
        <v>#DIV/0!</v>
      </c>
      <c r="J33" s="8"/>
      <c r="K33" s="8"/>
      <c r="L33" s="8"/>
    </row>
    <row r="34" spans="2:1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7">
      <c r="B35" s="2" t="s">
        <v>45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7">
      <c r="B38" s="2" t="s">
        <v>17</v>
      </c>
      <c r="C38" s="2" t="s">
        <v>9</v>
      </c>
      <c r="D38" s="2" t="s">
        <v>88</v>
      </c>
      <c r="E38" s="2" t="s">
        <v>89</v>
      </c>
    </row>
    <row r="39" spans="2:12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7">
      <c r="B41" s="7" t="s">
        <v>10</v>
      </c>
      <c r="C41" s="13" t="s">
        <v>51</v>
      </c>
      <c r="E41" s="2" t="s">
        <v>109</v>
      </c>
    </row>
    <row r="42" spans="2:12">
      <c r="B42" s="59" t="e">
        <f>E39</f>
        <v>#DIV/0!</v>
      </c>
      <c r="C42" s="14" t="e">
        <f>B42*données!E3*B39/'largeur_eff_semelle bis (3)'!K5/'largeur_eff_semelle (3)'!J5</f>
        <v>#DIV/0!</v>
      </c>
      <c r="E42" t="e">
        <f>B39/'largeur_eff_semelle (3)'!K5/'largeur_eff_semelle (3)'!J5</f>
        <v>#DIV/0!</v>
      </c>
      <c r="G42" s="65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topLeftCell="A2" workbookViewId="0">
      <selection activeCell="H48" sqref="H48:O62"/>
    </sheetView>
  </sheetViews>
  <sheetFormatPr baseColWidth="10" defaultRowHeight="14" x14ac:dyDescent="0"/>
  <cols>
    <col min="6" max="6" width="11.5" customWidth="1"/>
  </cols>
  <sheetData>
    <row r="2" spans="2:9" ht="17">
      <c r="B2" s="2" t="s">
        <v>0</v>
      </c>
      <c r="C2" s="2" t="s">
        <v>2</v>
      </c>
      <c r="D2" s="2" t="s">
        <v>17</v>
      </c>
      <c r="E2" s="40" t="s">
        <v>66</v>
      </c>
      <c r="F2" s="39" t="s">
        <v>65</v>
      </c>
      <c r="G2" s="2" t="s">
        <v>70</v>
      </c>
      <c r="H2" s="2" t="s">
        <v>29</v>
      </c>
      <c r="I2" s="8"/>
    </row>
    <row r="3" spans="2:9">
      <c r="B3" s="2">
        <f>données!E3</f>
        <v>0</v>
      </c>
      <c r="C3" s="7">
        <f>données!H3</f>
        <v>0</v>
      </c>
      <c r="D3" s="43">
        <f>données!G3</f>
        <v>0</v>
      </c>
      <c r="E3" s="11">
        <v>1</v>
      </c>
      <c r="F3" s="11" t="e">
        <f>MIN(D3,D3*(données!L3-résistance_section!H28)/résistance_section!H28)</f>
        <v>#DIV/0!</v>
      </c>
      <c r="G3" s="7" t="e">
        <f>données!L3-résistance_section!H28</f>
        <v>#DIV/0!</v>
      </c>
      <c r="H3" s="2" t="e">
        <f>G3/SIN(données!B3)-données!C20</f>
        <v>#DIV/0!</v>
      </c>
      <c r="I3" s="8"/>
    </row>
    <row r="4" spans="2:9">
      <c r="B4" s="8"/>
      <c r="C4" s="8"/>
      <c r="D4" s="8"/>
      <c r="E4" s="8"/>
      <c r="F4" s="8"/>
      <c r="G4" s="8"/>
      <c r="H4" s="8"/>
    </row>
    <row r="5" spans="2:9" ht="17">
      <c r="B5" s="2" t="s">
        <v>27</v>
      </c>
      <c r="C5" s="2" t="s">
        <v>28</v>
      </c>
      <c r="D5" s="2" t="s">
        <v>92</v>
      </c>
      <c r="E5" s="2" t="s">
        <v>93</v>
      </c>
      <c r="F5" s="8" t="s">
        <v>94</v>
      </c>
      <c r="G5" s="8"/>
      <c r="H5" s="8"/>
    </row>
    <row r="6" spans="2:9">
      <c r="B6" s="57" t="e">
        <f>0.95*B3*(C3/F3/E3)^0.5</f>
        <v>#DIV/0!</v>
      </c>
      <c r="C6" s="57" t="e">
        <f>B6</f>
        <v>#DIV/0!</v>
      </c>
      <c r="D6" s="7" t="e">
        <f>1.5*C6</f>
        <v>#DIV/0!</v>
      </c>
      <c r="E6" s="9" t="e">
        <f>C6+D6</f>
        <v>#DIV/0!</v>
      </c>
      <c r="F6" s="8"/>
      <c r="G6" s="60" t="s">
        <v>136</v>
      </c>
      <c r="H6" s="8"/>
    </row>
    <row r="7" spans="2:9">
      <c r="B7" s="8"/>
      <c r="C7" s="8"/>
      <c r="D7" s="8"/>
      <c r="E7" s="8"/>
      <c r="F7" s="8"/>
      <c r="G7" s="8"/>
      <c r="H7" s="8"/>
    </row>
    <row r="8" spans="2:9">
      <c r="B8" s="102" t="s">
        <v>8</v>
      </c>
      <c r="C8" s="60"/>
      <c r="D8" s="60"/>
      <c r="E8" s="60"/>
      <c r="F8" s="8"/>
      <c r="G8" s="8"/>
      <c r="H8" s="8"/>
    </row>
    <row r="9" spans="2:9">
      <c r="B9" s="8"/>
      <c r="C9" s="8"/>
      <c r="D9" s="8"/>
      <c r="E9" s="8"/>
      <c r="F9" s="8"/>
      <c r="G9" s="8"/>
      <c r="H9" s="8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zoomScale="150" zoomScaleNormal="150" zoomScalePageLayoutView="150" workbookViewId="0">
      <selection activeCell="H48" sqref="H48:O62"/>
    </sheetView>
  </sheetViews>
  <sheetFormatPr baseColWidth="10" defaultRowHeight="14" x14ac:dyDescent="0"/>
  <cols>
    <col min="2" max="2" width="12.6640625" customWidth="1"/>
    <col min="3" max="3" width="16.5" bestFit="1" customWidth="1"/>
    <col min="10" max="10" width="10.5" customWidth="1"/>
  </cols>
  <sheetData>
    <row r="1" spans="1:19">
      <c r="Q1" s="65" t="s">
        <v>114</v>
      </c>
      <c r="R1" s="65"/>
      <c r="S1" s="65"/>
    </row>
    <row r="2" spans="1:19" ht="18" thickBot="1">
      <c r="A2" s="2"/>
      <c r="B2" s="2" t="s">
        <v>146</v>
      </c>
      <c r="C2" s="47"/>
      <c r="D2" s="2" t="s">
        <v>16</v>
      </c>
      <c r="E2" s="2" t="s">
        <v>0</v>
      </c>
      <c r="F2" s="2" t="s">
        <v>131</v>
      </c>
      <c r="G2" s="2" t="s">
        <v>17</v>
      </c>
      <c r="H2" s="2" t="s">
        <v>2</v>
      </c>
      <c r="I2" s="10" t="s">
        <v>137</v>
      </c>
      <c r="J2" s="95" t="s">
        <v>138</v>
      </c>
      <c r="K2" s="10" t="s">
        <v>76</v>
      </c>
      <c r="L2" s="10" t="s">
        <v>81</v>
      </c>
      <c r="M2" s="10" t="s">
        <v>52</v>
      </c>
      <c r="N2" s="106" t="s">
        <v>110</v>
      </c>
      <c r="P2" s="104" t="s">
        <v>139</v>
      </c>
      <c r="Q2" s="65" t="s">
        <v>115</v>
      </c>
      <c r="R2" s="65" t="s">
        <v>98</v>
      </c>
      <c r="S2" s="65" t="s">
        <v>116</v>
      </c>
    </row>
    <row r="3" spans="1:19" ht="15" thickBot="1">
      <c r="B3" s="2">
        <f>data!F6</f>
        <v>0</v>
      </c>
      <c r="C3" s="8"/>
      <c r="D3" s="2">
        <f>data!C6</f>
        <v>0</v>
      </c>
      <c r="E3" s="94">
        <f>data!H6</f>
        <v>0</v>
      </c>
      <c r="F3" s="7">
        <f>data!G6</f>
        <v>0</v>
      </c>
      <c r="G3" s="75">
        <f>data!M6</f>
        <v>0</v>
      </c>
      <c r="H3" s="7">
        <f>data!N6</f>
        <v>0</v>
      </c>
      <c r="I3" s="57">
        <f>data!E6</f>
        <v>0</v>
      </c>
      <c r="J3" s="117">
        <f>data!D6</f>
        <v>0</v>
      </c>
      <c r="K3" s="57">
        <f>data!I6</f>
        <v>0</v>
      </c>
      <c r="L3" s="57">
        <f>data!J6</f>
        <v>0</v>
      </c>
      <c r="M3" s="3">
        <f>C9-C18-C20</f>
        <v>0</v>
      </c>
      <c r="N3" s="117">
        <f>data!K6</f>
        <v>0</v>
      </c>
      <c r="O3" s="98" t="s">
        <v>102</v>
      </c>
      <c r="P3" s="117">
        <f>data!B6</f>
        <v>0</v>
      </c>
      <c r="Q3" s="65">
        <f>AVERAGE(13.2,14.6,14.1,14.6)</f>
        <v>14.125</v>
      </c>
      <c r="R3" s="65">
        <f>AVERAGE(32,27,29,26.5)</f>
        <v>28.625</v>
      </c>
      <c r="S3" s="65">
        <f>$L3-$R3-$Q3/2*SIN($B3)</f>
        <v>-28.625</v>
      </c>
    </row>
    <row r="4" spans="1:19">
      <c r="B4" s="8"/>
      <c r="C4" s="8"/>
      <c r="D4" s="8">
        <f>COS(D3)</f>
        <v>1</v>
      </c>
      <c r="E4" s="8"/>
      <c r="F4" s="8"/>
      <c r="G4" s="8"/>
      <c r="N4" s="112"/>
      <c r="O4" s="65" t="s">
        <v>111</v>
      </c>
      <c r="P4" s="65">
        <f>0.067/0.067</f>
        <v>1</v>
      </c>
      <c r="Q4" s="65">
        <f>6-6</f>
        <v>0</v>
      </c>
      <c r="R4" s="65"/>
      <c r="S4" s="65"/>
    </row>
    <row r="5" spans="1:19" ht="17">
      <c r="A5" t="s">
        <v>58</v>
      </c>
      <c r="B5" s="93" t="s">
        <v>13</v>
      </c>
      <c r="C5" s="93" t="s">
        <v>96</v>
      </c>
      <c r="D5" s="93" t="s">
        <v>47</v>
      </c>
      <c r="E5" s="93" t="s">
        <v>48</v>
      </c>
      <c r="F5" s="83"/>
      <c r="G5" s="83"/>
      <c r="H5" s="84"/>
      <c r="I5" s="85"/>
      <c r="J5" s="85"/>
      <c r="K5" s="85"/>
      <c r="L5" s="85"/>
      <c r="M5" s="86"/>
      <c r="O5" s="112"/>
      <c r="Q5" s="65" t="s">
        <v>112</v>
      </c>
      <c r="R5" s="65">
        <f>2.75-2.75</f>
        <v>0</v>
      </c>
      <c r="S5" s="65"/>
    </row>
    <row r="6" spans="1:19">
      <c r="B6" s="93">
        <v>1</v>
      </c>
      <c r="C6" s="121">
        <f>data!C11</f>
        <v>0</v>
      </c>
      <c r="D6" s="54"/>
      <c r="E6" s="54"/>
      <c r="F6" s="88"/>
      <c r="G6" s="88"/>
      <c r="H6" s="89"/>
      <c r="I6" s="90"/>
      <c r="J6" s="90"/>
      <c r="K6" s="90"/>
      <c r="L6" s="90"/>
      <c r="M6" s="90"/>
      <c r="N6" s="87"/>
      <c r="O6" s="112"/>
      <c r="P6" s="112"/>
    </row>
    <row r="7" spans="1:19">
      <c r="B7" s="93">
        <v>2</v>
      </c>
      <c r="C7" s="121">
        <f>data!C12</f>
        <v>0</v>
      </c>
      <c r="D7" s="54"/>
      <c r="E7" s="54"/>
      <c r="F7" s="91"/>
      <c r="G7" s="91"/>
      <c r="H7" s="89"/>
      <c r="I7" s="90"/>
      <c r="J7" s="118"/>
      <c r="K7" s="90"/>
      <c r="L7" s="90"/>
      <c r="M7" s="92"/>
      <c r="N7" s="87"/>
    </row>
    <row r="8" spans="1:19">
      <c r="B8" s="93">
        <v>3</v>
      </c>
      <c r="C8" s="121">
        <f>data!C13</f>
        <v>0</v>
      </c>
      <c r="D8" s="54"/>
      <c r="E8" s="54"/>
      <c r="F8" s="91"/>
      <c r="G8" s="91"/>
      <c r="H8" s="89"/>
      <c r="I8" s="90"/>
      <c r="J8" s="118"/>
      <c r="K8" s="90"/>
      <c r="L8" s="90"/>
      <c r="M8" s="90"/>
      <c r="N8" s="87"/>
      <c r="P8" s="112"/>
    </row>
    <row r="9" spans="1:19">
      <c r="B9" s="93">
        <v>4</v>
      </c>
      <c r="C9" s="121">
        <f>data!C14</f>
        <v>0</v>
      </c>
      <c r="D9" s="54"/>
      <c r="E9" s="54"/>
      <c r="F9" s="91"/>
      <c r="G9" s="91"/>
      <c r="H9" s="89"/>
      <c r="I9" s="90"/>
      <c r="J9" s="90"/>
      <c r="K9" s="90"/>
      <c r="L9" s="90"/>
      <c r="M9" s="90"/>
      <c r="N9" s="87"/>
      <c r="P9" s="112"/>
      <c r="R9" s="112"/>
      <c r="S9" s="112"/>
    </row>
    <row r="10" spans="1:19">
      <c r="B10" s="93">
        <v>5</v>
      </c>
      <c r="C10" s="121">
        <f>data!C15</f>
        <v>0</v>
      </c>
      <c r="D10" s="54"/>
      <c r="E10" s="54"/>
      <c r="F10" s="91"/>
      <c r="G10" s="91"/>
      <c r="H10" s="89"/>
      <c r="I10" s="90"/>
      <c r="J10" s="90"/>
      <c r="K10" s="90"/>
      <c r="L10" s="90"/>
      <c r="M10" s="90"/>
      <c r="N10" s="87"/>
    </row>
    <row r="11" spans="1:19">
      <c r="B11" s="93">
        <v>6</v>
      </c>
      <c r="C11" s="121">
        <f>data!C16</f>
        <v>0</v>
      </c>
      <c r="D11" s="54"/>
      <c r="E11" s="54"/>
      <c r="F11" s="91"/>
      <c r="G11" s="91"/>
      <c r="H11" s="89"/>
      <c r="I11" s="90"/>
      <c r="J11" s="118"/>
      <c r="K11" s="90"/>
      <c r="L11" s="90"/>
      <c r="M11" s="90"/>
      <c r="N11" s="87"/>
    </row>
    <row r="12" spans="1:19">
      <c r="B12" s="93">
        <v>7</v>
      </c>
      <c r="C12" s="121">
        <f>data!C17</f>
        <v>0</v>
      </c>
      <c r="D12" s="54"/>
      <c r="E12" s="54"/>
      <c r="F12" s="91"/>
      <c r="G12" s="91"/>
      <c r="H12" s="89"/>
      <c r="I12" s="90"/>
      <c r="J12" s="118"/>
      <c r="K12" s="90"/>
      <c r="L12" s="90"/>
      <c r="M12" s="90"/>
      <c r="N12" s="87"/>
    </row>
    <row r="13" spans="1:19" s="96" customFormat="1">
      <c r="B13" s="93">
        <v>8</v>
      </c>
      <c r="C13" s="121">
        <f>data!C18</f>
        <v>0</v>
      </c>
      <c r="D13" s="54"/>
      <c r="E13" s="54"/>
      <c r="F13" s="97"/>
      <c r="G13" s="97"/>
      <c r="I13" s="90"/>
      <c r="J13" s="90"/>
      <c r="K13" s="90"/>
      <c r="L13" s="90"/>
      <c r="M13" s="90"/>
      <c r="N13" s="87"/>
    </row>
    <row r="14" spans="1:19">
      <c r="B14" s="93">
        <v>9</v>
      </c>
      <c r="C14" s="121">
        <f>data!C19</f>
        <v>0</v>
      </c>
      <c r="D14" s="54"/>
      <c r="E14" s="54"/>
      <c r="F14" s="91"/>
      <c r="G14" s="88"/>
      <c r="H14" s="89"/>
      <c r="I14" s="90"/>
      <c r="J14" s="90"/>
      <c r="K14" s="90"/>
      <c r="L14" s="90"/>
      <c r="M14" s="90"/>
      <c r="N14" s="87"/>
    </row>
    <row r="15" spans="1:19">
      <c r="B15" s="8"/>
      <c r="C15" s="8"/>
      <c r="D15" s="9"/>
      <c r="E15" s="9"/>
      <c r="F15" s="8"/>
      <c r="G15" s="8"/>
      <c r="I15" s="5"/>
      <c r="K15" s="5"/>
      <c r="L15" s="5"/>
      <c r="N15" s="5"/>
    </row>
    <row r="16" spans="1:19" ht="15">
      <c r="B16" s="8"/>
      <c r="C16" s="8"/>
      <c r="D16" s="9"/>
      <c r="E16" s="9"/>
      <c r="F16" s="8"/>
      <c r="G16" s="8"/>
      <c r="I16" s="5"/>
      <c r="K16" s="5"/>
      <c r="L16" s="5"/>
      <c r="N16" s="5"/>
      <c r="P16" s="109"/>
    </row>
    <row r="17" spans="2:14">
      <c r="B17" s="47" t="s">
        <v>99</v>
      </c>
      <c r="C17" s="8">
        <f>B3</f>
        <v>0</v>
      </c>
      <c r="D17" s="9">
        <f>SIN(C17)</f>
        <v>0</v>
      </c>
      <c r="E17" s="47"/>
      <c r="F17" s="8"/>
      <c r="G17" s="8"/>
      <c r="H17" s="47" t="s">
        <v>85</v>
      </c>
      <c r="I17" s="8">
        <f>D3</f>
        <v>0</v>
      </c>
      <c r="K17" s="47" t="s">
        <v>86</v>
      </c>
      <c r="L17" s="8">
        <f>2*D3</f>
        <v>0</v>
      </c>
    </row>
    <row r="18" spans="2:14">
      <c r="B18" s="30" t="s">
        <v>140</v>
      </c>
      <c r="C18" s="33">
        <f>$I$3*(TAN(C17/2)-SIN(C17/2))</f>
        <v>0</v>
      </c>
      <c r="D18" s="8"/>
      <c r="E18" s="30"/>
      <c r="F18" s="33"/>
      <c r="G18" s="8"/>
      <c r="H18" s="30" t="s">
        <v>59</v>
      </c>
      <c r="I18" s="33">
        <f>$P$3*(TAN(I17/2)-SIN(I17/2))</f>
        <v>0</v>
      </c>
      <c r="K18" s="30"/>
      <c r="L18" s="33"/>
    </row>
    <row r="19" spans="2:14">
      <c r="B19" s="31" t="s">
        <v>141</v>
      </c>
      <c r="C19" s="34">
        <f>$I$3*SIN(C17/2)</f>
        <v>0</v>
      </c>
      <c r="D19" s="8"/>
      <c r="E19" s="31"/>
      <c r="F19" s="34"/>
      <c r="G19" s="8"/>
      <c r="H19" s="31" t="s">
        <v>60</v>
      </c>
      <c r="I19" s="34">
        <f>$P$3*SIN(I17/2)</f>
        <v>0</v>
      </c>
      <c r="K19" s="31"/>
      <c r="L19" s="34"/>
    </row>
    <row r="20" spans="2:14">
      <c r="B20" s="30" t="s">
        <v>142</v>
      </c>
      <c r="C20" s="33">
        <f>J3*(TAN(C17/2)-SIN(C17/2))</f>
        <v>0</v>
      </c>
      <c r="D20" s="68"/>
      <c r="E20" s="66"/>
      <c r="F20" s="67"/>
      <c r="G20" s="68"/>
      <c r="H20" s="66" t="s">
        <v>53</v>
      </c>
      <c r="I20" s="67">
        <f>K7-I18</f>
        <v>0</v>
      </c>
      <c r="J20" s="69"/>
      <c r="K20" s="66"/>
      <c r="L20" s="67"/>
    </row>
    <row r="21" spans="2:14">
      <c r="B21" s="31" t="s">
        <v>143</v>
      </c>
      <c r="C21" s="34">
        <f>J3*SIN(C17/2)</f>
        <v>0</v>
      </c>
      <c r="D21" s="68"/>
      <c r="E21" s="66"/>
      <c r="F21" s="67"/>
      <c r="G21" s="68"/>
      <c r="H21" s="66" t="s">
        <v>54</v>
      </c>
      <c r="I21" s="67">
        <f>K13-I18</f>
        <v>0</v>
      </c>
      <c r="J21" s="69"/>
      <c r="K21" s="66"/>
      <c r="L21" s="67"/>
    </row>
    <row r="22" spans="2:14">
      <c r="B22" s="66" t="s">
        <v>52</v>
      </c>
      <c r="C22" s="67"/>
      <c r="D22" s="68"/>
      <c r="E22" s="66"/>
      <c r="F22" s="67"/>
      <c r="G22" s="68"/>
      <c r="H22" s="66" t="s">
        <v>52</v>
      </c>
      <c r="I22" s="67">
        <f>(((K8+K9+K11)^2+J15^2)^0.5-2*I18)</f>
        <v>0</v>
      </c>
      <c r="J22" s="69"/>
      <c r="K22" s="66"/>
      <c r="L22" s="67"/>
    </row>
    <row r="23" spans="2:14">
      <c r="B23" s="32" t="s">
        <v>144</v>
      </c>
      <c r="C23" s="34">
        <f>J3*C17</f>
        <v>0</v>
      </c>
      <c r="D23" s="68"/>
      <c r="E23" s="66"/>
      <c r="F23" s="70"/>
      <c r="G23" s="68"/>
      <c r="H23" s="66" t="s">
        <v>55</v>
      </c>
      <c r="I23" s="70">
        <f>I20-I19</f>
        <v>0</v>
      </c>
      <c r="J23" s="69"/>
      <c r="K23" s="66"/>
      <c r="L23" s="70"/>
    </row>
    <row r="24" spans="2:14">
      <c r="B24" s="32" t="s">
        <v>145</v>
      </c>
      <c r="C24" s="34" t="e">
        <f>J3*(1-SIN(C17)/C17)</f>
        <v>#DIV/0!</v>
      </c>
      <c r="D24" s="68"/>
      <c r="E24" s="66"/>
      <c r="F24" s="71"/>
      <c r="G24" s="68"/>
      <c r="H24" s="66" t="s">
        <v>56</v>
      </c>
      <c r="I24" s="71">
        <f>I21-I19</f>
        <v>0</v>
      </c>
      <c r="J24" s="69"/>
      <c r="K24" s="66"/>
      <c r="L24" s="71"/>
    </row>
    <row r="25" spans="2:14">
      <c r="B25" s="72" t="s">
        <v>57</v>
      </c>
      <c r="C25" s="70"/>
      <c r="D25" s="68"/>
      <c r="E25" s="72"/>
      <c r="F25" s="70"/>
      <c r="G25" s="68"/>
      <c r="H25" s="72" t="s">
        <v>57</v>
      </c>
      <c r="I25" s="70"/>
      <c r="J25" s="69"/>
      <c r="K25" s="72"/>
      <c r="L25" s="70"/>
    </row>
    <row r="26" spans="2:14">
      <c r="B26" s="32" t="s">
        <v>100</v>
      </c>
      <c r="C26" s="34">
        <f>$I$3*C17</f>
        <v>0</v>
      </c>
      <c r="D26" s="8"/>
      <c r="E26" s="32"/>
      <c r="F26" s="34"/>
      <c r="G26" s="8"/>
      <c r="H26" s="32" t="s">
        <v>61</v>
      </c>
      <c r="I26" s="34">
        <f>$P$3*I17</f>
        <v>0</v>
      </c>
      <c r="K26" s="32"/>
      <c r="L26" s="34"/>
    </row>
    <row r="27" spans="2:14">
      <c r="B27" s="32" t="s">
        <v>101</v>
      </c>
      <c r="C27" s="34" t="e">
        <f>$I$3*(1-SIN(C17)/C17)</f>
        <v>#DIV/0!</v>
      </c>
      <c r="D27" s="8"/>
      <c r="E27" s="32"/>
      <c r="F27" s="34"/>
      <c r="G27" s="8"/>
      <c r="H27" s="32" t="s">
        <v>62</v>
      </c>
      <c r="I27" s="34" t="e">
        <f>$P$3*(1-SIN(I17)/I17)</f>
        <v>#DIV/0!</v>
      </c>
      <c r="K27" s="32"/>
      <c r="L27" s="34"/>
    </row>
    <row r="28" spans="2:14">
      <c r="B28" s="32"/>
      <c r="C28" s="34"/>
      <c r="D28" s="8"/>
      <c r="E28" s="8"/>
      <c r="F28" s="8"/>
      <c r="G28" s="8"/>
    </row>
    <row r="29" spans="2:14" ht="17">
      <c r="B29" s="2" t="s">
        <v>13</v>
      </c>
      <c r="C29" s="2" t="s">
        <v>49</v>
      </c>
      <c r="D29" s="2" t="s">
        <v>47</v>
      </c>
      <c r="E29" s="2" t="s">
        <v>48</v>
      </c>
      <c r="F29" s="35"/>
      <c r="G29" s="35"/>
      <c r="H29" s="2" t="s">
        <v>13</v>
      </c>
      <c r="I29" s="13" t="s">
        <v>42</v>
      </c>
      <c r="J29" s="13" t="s">
        <v>40</v>
      </c>
      <c r="K29" s="13" t="s">
        <v>43</v>
      </c>
      <c r="L29" s="13" t="s">
        <v>41</v>
      </c>
      <c r="M29" s="21" t="s">
        <v>7</v>
      </c>
      <c r="N29" s="13" t="s">
        <v>44</v>
      </c>
    </row>
    <row r="30" spans="2:14">
      <c r="B30" s="2">
        <v>1</v>
      </c>
      <c r="C30" s="49">
        <f>C6-I19</f>
        <v>0</v>
      </c>
      <c r="D30" s="2"/>
      <c r="E30" s="2"/>
      <c r="F30" s="35"/>
      <c r="G30" s="35"/>
      <c r="H30" s="2">
        <v>1</v>
      </c>
      <c r="I30" s="51">
        <f>C30*$E$3</f>
        <v>0</v>
      </c>
      <c r="J30" s="119">
        <f>data!J6+data!K6</f>
        <v>0</v>
      </c>
      <c r="K30" s="3">
        <f>I30*J30</f>
        <v>0</v>
      </c>
      <c r="L30" s="3" t="e">
        <f t="shared" ref="L30:L42" si="0">L$44-J30</f>
        <v>#DIV/0!</v>
      </c>
      <c r="M30" s="48">
        <f>E3</f>
        <v>0</v>
      </c>
      <c r="N30" s="7" t="e">
        <f>I30*M30^2/12+I30*L30^2</f>
        <v>#DIV/0!</v>
      </c>
    </row>
    <row r="31" spans="2:14">
      <c r="B31" s="2">
        <v>2</v>
      </c>
      <c r="C31" s="7">
        <f>I26</f>
        <v>0</v>
      </c>
      <c r="D31" s="7"/>
      <c r="E31" s="7"/>
      <c r="F31" s="9"/>
      <c r="G31" s="9"/>
      <c r="H31" s="2">
        <v>2</v>
      </c>
      <c r="I31" s="3">
        <f>C31*$E$3</f>
        <v>0</v>
      </c>
      <c r="J31" s="52" t="e">
        <f>J30-I27</f>
        <v>#DIV/0!</v>
      </c>
      <c r="K31" s="3" t="e">
        <f>I31*J31</f>
        <v>#DIV/0!</v>
      </c>
      <c r="L31" s="3" t="e">
        <f t="shared" si="0"/>
        <v>#DIV/0!</v>
      </c>
      <c r="M31" s="48"/>
      <c r="N31" s="54" t="e">
        <f>E3*($P$3^3*(($I$17+SIN($I$17)*COS($I$17))/2-SIN($I$17)^2/$I$17))+I31*L31^2</f>
        <v>#DIV/0!</v>
      </c>
    </row>
    <row r="32" spans="2:14">
      <c r="B32" s="2">
        <v>3</v>
      </c>
      <c r="C32" s="49">
        <f>C7-2*I19</f>
        <v>0</v>
      </c>
      <c r="D32" s="7"/>
      <c r="E32" s="7"/>
      <c r="F32" s="9">
        <f>(D32^2+E32^2)^0.5</f>
        <v>0</v>
      </c>
      <c r="G32" s="50" t="s">
        <v>84</v>
      </c>
      <c r="H32" s="2">
        <v>3</v>
      </c>
      <c r="I32" s="51">
        <f t="shared" ref="I32:I42" si="1">C32*$E$3</f>
        <v>0</v>
      </c>
      <c r="J32" s="53">
        <f>data!J6+data!K6/2</f>
        <v>0</v>
      </c>
      <c r="K32" s="3">
        <f>I32*J32</f>
        <v>0</v>
      </c>
      <c r="L32" s="3" t="e">
        <f t="shared" si="0"/>
        <v>#DIV/0!</v>
      </c>
      <c r="M32" s="48">
        <f>C32*SIN(D3)</f>
        <v>0</v>
      </c>
      <c r="N32" s="7" t="e">
        <f>I32*M32^2/12+I32*L32^2</f>
        <v>#DIV/0!</v>
      </c>
    </row>
    <row r="33" spans="2:16">
      <c r="B33" s="2">
        <v>4</v>
      </c>
      <c r="C33" s="5">
        <f>I26</f>
        <v>0</v>
      </c>
      <c r="D33" s="7"/>
      <c r="E33" s="7"/>
      <c r="F33" s="9">
        <f>(D33^2+E33^2)^0.5</f>
        <v>0</v>
      </c>
      <c r="G33" s="9"/>
      <c r="H33" s="2">
        <v>4</v>
      </c>
      <c r="I33" s="3">
        <f t="shared" si="1"/>
        <v>0</v>
      </c>
      <c r="J33" s="53" t="e">
        <f>L3+I27</f>
        <v>#DIV/0!</v>
      </c>
      <c r="K33" s="3" t="e">
        <f t="shared" ref="K33:K42" si="2">I33*J33</f>
        <v>#DIV/0!</v>
      </c>
      <c r="L33" s="3" t="e">
        <f t="shared" si="0"/>
        <v>#DIV/0!</v>
      </c>
      <c r="M33" s="48"/>
      <c r="N33" s="54" t="e">
        <f>E3*$P$3^3*(($I$17+SIN($I$17)*COS($I$17))/2-SIN($I$17)^2/$I$17)+I33*L33^2</f>
        <v>#DIV/0!</v>
      </c>
    </row>
    <row r="34" spans="2:16">
      <c r="B34" s="2">
        <v>5</v>
      </c>
      <c r="C34" s="49">
        <f>C8-C21-I19</f>
        <v>0</v>
      </c>
      <c r="D34" s="7"/>
      <c r="E34" s="7"/>
      <c r="F34" s="9">
        <f>(D34^2+E34^2)^0.5</f>
        <v>0</v>
      </c>
      <c r="G34" s="9"/>
      <c r="H34" s="2">
        <v>5</v>
      </c>
      <c r="I34" s="51">
        <f t="shared" si="1"/>
        <v>0</v>
      </c>
      <c r="J34" s="52">
        <f>L3</f>
        <v>0</v>
      </c>
      <c r="K34" s="3">
        <f t="shared" si="2"/>
        <v>0</v>
      </c>
      <c r="L34" s="3" t="e">
        <f t="shared" si="0"/>
        <v>#DIV/0!</v>
      </c>
      <c r="M34" s="74">
        <f>E3</f>
        <v>0</v>
      </c>
      <c r="N34" s="7" t="e">
        <f>I34*M34^2/12+I34*L34^2</f>
        <v>#DIV/0!</v>
      </c>
    </row>
    <row r="35" spans="2:16">
      <c r="B35" s="2">
        <v>6</v>
      </c>
      <c r="C35" s="7">
        <f>C23</f>
        <v>0</v>
      </c>
      <c r="D35" s="7"/>
      <c r="E35" s="7"/>
      <c r="F35" s="9">
        <f>(D35^2+E35^2)^0.5</f>
        <v>0</v>
      </c>
      <c r="G35" s="9"/>
      <c r="H35" s="2">
        <v>6</v>
      </c>
      <c r="I35" s="3">
        <f t="shared" si="1"/>
        <v>0</v>
      </c>
      <c r="J35" s="53" t="e">
        <f>L3-C24</f>
        <v>#DIV/0!</v>
      </c>
      <c r="K35" s="3" t="e">
        <f t="shared" si="2"/>
        <v>#DIV/0!</v>
      </c>
      <c r="L35" s="3" t="e">
        <f t="shared" si="0"/>
        <v>#DIV/0!</v>
      </c>
      <c r="M35" s="48"/>
      <c r="N35" s="54" t="e">
        <f>E3*$J$3^3*(($C$17+SIN($C$17)*COS($C$17))/2-SIN($C$17)^2/$C$17)+I35*L35^2</f>
        <v>#DIV/0!</v>
      </c>
    </row>
    <row r="36" spans="2:16">
      <c r="B36" s="2">
        <v>7</v>
      </c>
      <c r="C36" s="49">
        <f>C9-C19-C21</f>
        <v>0</v>
      </c>
      <c r="D36" s="7"/>
      <c r="E36" s="7"/>
      <c r="F36" s="9"/>
      <c r="G36" s="9"/>
      <c r="H36" s="2">
        <v>7</v>
      </c>
      <c r="I36" s="51">
        <f t="shared" si="1"/>
        <v>0</v>
      </c>
      <c r="J36" s="53">
        <f>M36/2+I3*(1-COS(B3))</f>
        <v>0</v>
      </c>
      <c r="K36" s="3">
        <f t="shared" si="2"/>
        <v>0</v>
      </c>
      <c r="L36" s="3" t="e">
        <f t="shared" si="0"/>
        <v>#DIV/0!</v>
      </c>
      <c r="M36" s="48">
        <f>C36*SIN(B3)</f>
        <v>0</v>
      </c>
      <c r="N36" s="7" t="e">
        <f t="shared" ref="N36" si="3">I36*M36^2/12+I36*L36^2</f>
        <v>#DIV/0!</v>
      </c>
    </row>
    <row r="37" spans="2:16">
      <c r="B37" s="2">
        <v>8</v>
      </c>
      <c r="C37" s="7">
        <f>C26</f>
        <v>0</v>
      </c>
      <c r="D37" s="7">
        <v>0</v>
      </c>
      <c r="E37" s="7"/>
      <c r="F37" s="9"/>
      <c r="G37" s="9"/>
      <c r="H37" s="2">
        <v>8</v>
      </c>
      <c r="I37" s="3">
        <f t="shared" si="1"/>
        <v>0</v>
      </c>
      <c r="J37" s="73" t="e">
        <f>C27</f>
        <v>#DIV/0!</v>
      </c>
      <c r="K37" s="3" t="e">
        <f t="shared" si="2"/>
        <v>#DIV/0!</v>
      </c>
      <c r="L37" s="3" t="e">
        <f t="shared" si="0"/>
        <v>#DIV/0!</v>
      </c>
      <c r="M37" s="48"/>
      <c r="N37" s="54" t="e">
        <f>E3*$I$3^3*(($C$17+SIN($C$17)*COS($C$17))/2-SIN($C$17)^2/$C$17)+I37*L37^2</f>
        <v>#DIV/0!</v>
      </c>
    </row>
    <row r="38" spans="2:16">
      <c r="B38" s="2">
        <v>9</v>
      </c>
      <c r="C38" s="49">
        <f>C10-C19</f>
        <v>0</v>
      </c>
      <c r="D38" s="7"/>
      <c r="E38" s="7"/>
      <c r="F38" s="9"/>
      <c r="G38" s="9"/>
      <c r="H38" s="2">
        <v>9</v>
      </c>
      <c r="I38" s="51">
        <f t="shared" si="1"/>
        <v>0</v>
      </c>
      <c r="J38" s="53">
        <v>0</v>
      </c>
      <c r="K38" s="3">
        <f t="shared" si="2"/>
        <v>0</v>
      </c>
      <c r="L38" s="3" t="e">
        <f t="shared" si="0"/>
        <v>#DIV/0!</v>
      </c>
      <c r="M38" s="48">
        <f>E3</f>
        <v>0</v>
      </c>
      <c r="N38" s="54" t="e">
        <f>I38*M38^2/12+I38*L38^2</f>
        <v>#DIV/0!</v>
      </c>
    </row>
    <row r="39" spans="2:16">
      <c r="B39" s="2">
        <v>11</v>
      </c>
      <c r="C39" s="49">
        <f>C11</f>
        <v>0</v>
      </c>
      <c r="D39" s="7"/>
      <c r="E39" s="7"/>
      <c r="F39" s="9"/>
      <c r="G39" s="9"/>
      <c r="H39" s="2">
        <v>11</v>
      </c>
      <c r="I39" s="51">
        <f t="shared" si="1"/>
        <v>0</v>
      </c>
      <c r="J39" s="53">
        <f>data!L6/2</f>
        <v>0</v>
      </c>
      <c r="K39" s="3">
        <f>I39*J39</f>
        <v>0</v>
      </c>
      <c r="L39" s="3" t="e">
        <f t="shared" si="0"/>
        <v>#DIV/0!</v>
      </c>
      <c r="M39" s="48">
        <f>C39</f>
        <v>0</v>
      </c>
      <c r="N39" s="54" t="e">
        <f>I39*M39^2/12+I39*L39^2</f>
        <v>#DIV/0!</v>
      </c>
    </row>
    <row r="40" spans="2:16">
      <c r="B40" s="2">
        <v>13</v>
      </c>
      <c r="C40" s="49">
        <f>C12</f>
        <v>0</v>
      </c>
      <c r="D40" s="7"/>
      <c r="E40" s="7"/>
      <c r="F40" s="9"/>
      <c r="G40" s="9"/>
      <c r="H40" s="2">
        <v>13</v>
      </c>
      <c r="I40" s="51">
        <f t="shared" si="1"/>
        <v>0</v>
      </c>
      <c r="J40" s="53">
        <f>data!L6</f>
        <v>0</v>
      </c>
      <c r="K40" s="3">
        <f t="shared" si="2"/>
        <v>0</v>
      </c>
      <c r="L40" s="3" t="e">
        <f t="shared" si="0"/>
        <v>#DIV/0!</v>
      </c>
      <c r="M40" s="48">
        <f>E3</f>
        <v>0</v>
      </c>
      <c r="N40" s="54" t="e">
        <f>I40*M40^2/12+I40*L40^2</f>
        <v>#DIV/0!</v>
      </c>
    </row>
    <row r="41" spans="2:16">
      <c r="B41" s="2">
        <v>15</v>
      </c>
      <c r="C41" s="49">
        <f>C13</f>
        <v>0</v>
      </c>
      <c r="D41" s="7"/>
      <c r="E41" s="7"/>
      <c r="F41" s="9"/>
      <c r="G41" s="9"/>
      <c r="H41" s="2">
        <v>15</v>
      </c>
      <c r="I41" s="51">
        <f t="shared" si="1"/>
        <v>0</v>
      </c>
      <c r="J41" s="73">
        <f>J39</f>
        <v>0</v>
      </c>
      <c r="K41" s="3">
        <f t="shared" si="2"/>
        <v>0</v>
      </c>
      <c r="L41" s="3" t="e">
        <f t="shared" si="0"/>
        <v>#DIV/0!</v>
      </c>
      <c r="M41" s="48">
        <f>C41</f>
        <v>0</v>
      </c>
      <c r="N41" s="54" t="e">
        <f t="shared" ref="N41" si="4">I41*M41^2/12+I41*L41^2</f>
        <v>#DIV/0!</v>
      </c>
      <c r="P41" t="e">
        <f>K41*O41^2/12+K41*N41^2</f>
        <v>#DIV/0!</v>
      </c>
    </row>
    <row r="42" spans="2:16">
      <c r="B42" s="2">
        <v>17</v>
      </c>
      <c r="C42" s="49">
        <f>C14</f>
        <v>0</v>
      </c>
      <c r="D42" s="7"/>
      <c r="E42" s="7"/>
      <c r="F42" s="9"/>
      <c r="G42" s="9"/>
      <c r="H42" s="2">
        <v>17</v>
      </c>
      <c r="I42" s="51">
        <f t="shared" si="1"/>
        <v>0</v>
      </c>
      <c r="J42" s="52">
        <v>0</v>
      </c>
      <c r="K42" s="3">
        <f t="shared" si="2"/>
        <v>0</v>
      </c>
      <c r="L42" s="3" t="e">
        <f t="shared" si="0"/>
        <v>#DIV/0!</v>
      </c>
      <c r="M42" s="48">
        <f>E3</f>
        <v>0</v>
      </c>
      <c r="N42" s="54" t="e">
        <f>I42*M42^2/12+I42*L42^2</f>
        <v>#DIV/0!</v>
      </c>
    </row>
    <row r="43" spans="2:16">
      <c r="B43" s="2"/>
      <c r="C43" s="77"/>
      <c r="D43" s="7"/>
      <c r="E43" s="7"/>
      <c r="F43" s="9"/>
      <c r="G43" s="8"/>
      <c r="H43" s="2"/>
      <c r="I43" s="76"/>
      <c r="J43" s="52"/>
      <c r="K43" s="3"/>
      <c r="L43" s="3"/>
      <c r="M43" s="74"/>
      <c r="N43" s="7"/>
    </row>
    <row r="44" spans="2:16">
      <c r="B44" s="8"/>
      <c r="C44" s="5">
        <f>SUM(C31:C43)</f>
        <v>0</v>
      </c>
      <c r="D44" s="9">
        <f>D33+D34+D35</f>
        <v>0</v>
      </c>
      <c r="E44" s="9" t="e">
        <f>#REF!+#REF!+#REF!+E31+E33+E34+E35+E37+E43</f>
        <v>#REF!</v>
      </c>
      <c r="F44" s="8"/>
      <c r="G44" s="8"/>
      <c r="I44" s="5">
        <f>SUM(I30:I43)</f>
        <v>0</v>
      </c>
      <c r="K44" s="5" t="e">
        <f>SUM(K30:K43)</f>
        <v>#DIV/0!</v>
      </c>
      <c r="L44" s="55" t="e">
        <f>K44/I44</f>
        <v>#DIV/0!</v>
      </c>
      <c r="N44" s="5" t="e">
        <f>SUM(N30:N43)</f>
        <v>#DIV/0!</v>
      </c>
      <c r="O44" t="s">
        <v>95</v>
      </c>
    </row>
    <row r="45" spans="2:16">
      <c r="B45" s="32"/>
      <c r="C45" s="34">
        <f>C44*E3</f>
        <v>0</v>
      </c>
      <c r="D45" s="8"/>
      <c r="E45" s="8"/>
      <c r="F45" s="8"/>
      <c r="G45" s="8"/>
      <c r="I45" t="e">
        <f>I44*2/K3*1000</f>
        <v>#DIV/0!</v>
      </c>
      <c r="N45" t="e">
        <f>N44*2/K3*1000</f>
        <v>#DIV/0!</v>
      </c>
      <c r="O45" t="s">
        <v>104</v>
      </c>
    </row>
    <row r="46" spans="2:16">
      <c r="B46" s="32"/>
      <c r="C46" s="34"/>
      <c r="D46" s="8"/>
      <c r="E46" s="8"/>
      <c r="F46" s="8"/>
      <c r="G46" s="8"/>
      <c r="I46" t="e">
        <f>I45/100</f>
        <v>#DIV/0!</v>
      </c>
      <c r="N46" t="e">
        <f>N45/10000</f>
        <v>#DIV/0!</v>
      </c>
      <c r="O46" t="s">
        <v>105</v>
      </c>
    </row>
    <row r="47" spans="2:16">
      <c r="B47" s="32"/>
      <c r="C47" s="34"/>
      <c r="D47" s="8"/>
      <c r="E47" s="8"/>
      <c r="F47" s="8"/>
      <c r="G47" s="8"/>
    </row>
    <row r="48" spans="2:16" ht="17">
      <c r="B48" s="8"/>
      <c r="C48" s="8"/>
      <c r="D48" s="8"/>
      <c r="E48" s="8"/>
      <c r="F48" s="8"/>
      <c r="G48" s="8"/>
      <c r="H48" s="2" t="s">
        <v>13</v>
      </c>
      <c r="I48" s="13" t="s">
        <v>147</v>
      </c>
      <c r="J48" s="13" t="s">
        <v>42</v>
      </c>
      <c r="K48" s="13" t="s">
        <v>40</v>
      </c>
      <c r="L48" s="13" t="s">
        <v>43</v>
      </c>
      <c r="M48" s="13" t="s">
        <v>41</v>
      </c>
      <c r="N48" s="21" t="s">
        <v>7</v>
      </c>
      <c r="O48" s="13" t="s">
        <v>44</v>
      </c>
    </row>
    <row r="49" spans="2:15" ht="13" customHeight="1">
      <c r="B49" s="8"/>
      <c r="C49" s="8"/>
      <c r="D49" s="8"/>
      <c r="E49" s="8"/>
      <c r="F49" s="8"/>
      <c r="G49" s="8"/>
      <c r="H49" s="122">
        <v>1</v>
      </c>
      <c r="I49" s="123">
        <f t="shared" ref="I49:I61" si="5">C30</f>
        <v>0</v>
      </c>
      <c r="J49" s="127">
        <f>I49*$E$3</f>
        <v>0</v>
      </c>
      <c r="K49" s="124">
        <f t="shared" ref="K49:K61" si="6">J30</f>
        <v>0</v>
      </c>
      <c r="L49" s="3">
        <f>J49*K49</f>
        <v>0</v>
      </c>
      <c r="M49" s="3" t="e">
        <f>M$62-K49</f>
        <v>#DIV/0!</v>
      </c>
      <c r="N49" s="124">
        <f>M30</f>
        <v>0</v>
      </c>
      <c r="O49" s="124" t="e">
        <f>N30</f>
        <v>#DIV/0!</v>
      </c>
    </row>
    <row r="50" spans="2:15" ht="17">
      <c r="B50" s="8"/>
      <c r="C50" s="8"/>
      <c r="D50" s="8"/>
      <c r="H50" s="122" t="s">
        <v>151</v>
      </c>
      <c r="I50" s="123">
        <f t="shared" si="5"/>
        <v>0</v>
      </c>
      <c r="J50" s="127">
        <f t="shared" ref="J50:J61" si="7">I50*$E$3</f>
        <v>0</v>
      </c>
      <c r="K50" s="124" t="e">
        <f t="shared" si="6"/>
        <v>#DIV/0!</v>
      </c>
      <c r="L50" s="3" t="e">
        <f t="shared" ref="L50:L61" si="8">J50*K50</f>
        <v>#DIV/0!</v>
      </c>
      <c r="M50" s="3" t="e">
        <f t="shared" ref="M50:M61" si="9">M$62-K50</f>
        <v>#DIV/0!</v>
      </c>
      <c r="N50" s="124"/>
      <c r="O50" s="124" t="e">
        <f t="shared" ref="O50:O56" si="10">N31</f>
        <v>#DIV/0!</v>
      </c>
    </row>
    <row r="51" spans="2:15">
      <c r="B51" s="8"/>
      <c r="C51" s="8"/>
      <c r="D51" s="8"/>
      <c r="H51" s="1">
        <v>2</v>
      </c>
      <c r="I51" s="123">
        <f t="shared" si="5"/>
        <v>0</v>
      </c>
      <c r="J51" s="127">
        <f t="shared" si="7"/>
        <v>0</v>
      </c>
      <c r="K51" s="124">
        <f t="shared" si="6"/>
        <v>0</v>
      </c>
      <c r="L51" s="3">
        <f t="shared" si="8"/>
        <v>0</v>
      </c>
      <c r="M51" s="3" t="e">
        <f t="shared" si="9"/>
        <v>#DIV/0!</v>
      </c>
      <c r="N51" s="124">
        <f t="shared" ref="N51:N55" si="11">M32</f>
        <v>0</v>
      </c>
      <c r="O51" s="124" t="e">
        <f t="shared" si="10"/>
        <v>#DIV/0!</v>
      </c>
    </row>
    <row r="52" spans="2:15" ht="17">
      <c r="B52" s="8"/>
      <c r="C52" s="8"/>
      <c r="D52" s="8"/>
      <c r="H52" s="122" t="s">
        <v>152</v>
      </c>
      <c r="I52" s="123">
        <f t="shared" si="5"/>
        <v>0</v>
      </c>
      <c r="J52" s="127">
        <f t="shared" si="7"/>
        <v>0</v>
      </c>
      <c r="K52" s="124" t="e">
        <f t="shared" si="6"/>
        <v>#DIV/0!</v>
      </c>
      <c r="L52" s="3" t="e">
        <f t="shared" si="8"/>
        <v>#DIV/0!</v>
      </c>
      <c r="M52" s="3" t="e">
        <f t="shared" si="9"/>
        <v>#DIV/0!</v>
      </c>
      <c r="N52" s="124"/>
      <c r="O52" s="124" t="e">
        <f t="shared" si="10"/>
        <v>#DIV/0!</v>
      </c>
    </row>
    <row r="53" spans="2:15">
      <c r="B53" s="8"/>
      <c r="C53" s="8"/>
      <c r="D53" s="8"/>
      <c r="H53" s="122">
        <v>3</v>
      </c>
      <c r="I53" s="123">
        <f t="shared" si="5"/>
        <v>0</v>
      </c>
      <c r="J53" s="127">
        <f t="shared" si="7"/>
        <v>0</v>
      </c>
      <c r="K53" s="124">
        <f t="shared" si="6"/>
        <v>0</v>
      </c>
      <c r="L53" s="3">
        <f t="shared" si="8"/>
        <v>0</v>
      </c>
      <c r="M53" s="3" t="e">
        <f t="shared" si="9"/>
        <v>#DIV/0!</v>
      </c>
      <c r="N53" s="124">
        <f t="shared" si="11"/>
        <v>0</v>
      </c>
      <c r="O53" s="124" t="e">
        <f t="shared" si="10"/>
        <v>#DIV/0!</v>
      </c>
    </row>
    <row r="54" spans="2:15" ht="17">
      <c r="B54" s="8"/>
      <c r="C54" s="8"/>
      <c r="D54" s="8"/>
      <c r="H54" s="122" t="s">
        <v>148</v>
      </c>
      <c r="I54" s="123">
        <f t="shared" si="5"/>
        <v>0</v>
      </c>
      <c r="J54" s="127">
        <f t="shared" si="7"/>
        <v>0</v>
      </c>
      <c r="K54" s="124" t="e">
        <f t="shared" si="6"/>
        <v>#DIV/0!</v>
      </c>
      <c r="L54" s="3" t="e">
        <f t="shared" si="8"/>
        <v>#DIV/0!</v>
      </c>
      <c r="M54" s="3" t="e">
        <f t="shared" si="9"/>
        <v>#DIV/0!</v>
      </c>
      <c r="N54" s="124"/>
      <c r="O54" s="124" t="e">
        <f t="shared" si="10"/>
        <v>#DIV/0!</v>
      </c>
    </row>
    <row r="55" spans="2:15">
      <c r="B55" s="8"/>
      <c r="C55" s="8"/>
      <c r="D55" s="8"/>
      <c r="H55" s="122">
        <v>4</v>
      </c>
      <c r="I55" s="123">
        <f t="shared" si="5"/>
        <v>0</v>
      </c>
      <c r="J55" s="127">
        <f t="shared" si="7"/>
        <v>0</v>
      </c>
      <c r="K55" s="124">
        <f t="shared" si="6"/>
        <v>0</v>
      </c>
      <c r="L55" s="3">
        <f t="shared" si="8"/>
        <v>0</v>
      </c>
      <c r="M55" s="3" t="e">
        <f t="shared" si="9"/>
        <v>#DIV/0!</v>
      </c>
      <c r="N55" s="124">
        <f t="shared" si="11"/>
        <v>0</v>
      </c>
      <c r="O55" s="124" t="e">
        <f t="shared" si="10"/>
        <v>#DIV/0!</v>
      </c>
    </row>
    <row r="56" spans="2:15" ht="17">
      <c r="B56" s="8"/>
      <c r="C56" s="8"/>
      <c r="D56" s="8"/>
      <c r="H56" s="122" t="s">
        <v>149</v>
      </c>
      <c r="I56" s="123">
        <f t="shared" si="5"/>
        <v>0</v>
      </c>
      <c r="J56" s="127">
        <f t="shared" si="7"/>
        <v>0</v>
      </c>
      <c r="K56" s="124" t="e">
        <f t="shared" si="6"/>
        <v>#DIV/0!</v>
      </c>
      <c r="L56" s="3" t="e">
        <f t="shared" si="8"/>
        <v>#DIV/0!</v>
      </c>
      <c r="M56" s="3" t="e">
        <f t="shared" si="9"/>
        <v>#DIV/0!</v>
      </c>
      <c r="N56" s="124"/>
      <c r="O56" s="124" t="e">
        <f t="shared" si="10"/>
        <v>#DIV/0!</v>
      </c>
    </row>
    <row r="57" spans="2:15">
      <c r="B57" s="8"/>
      <c r="C57" s="8"/>
      <c r="D57" s="8"/>
      <c r="H57" s="122">
        <v>5</v>
      </c>
      <c r="I57" s="123">
        <f t="shared" si="5"/>
        <v>0</v>
      </c>
      <c r="J57" s="127">
        <f t="shared" si="7"/>
        <v>0</v>
      </c>
      <c r="K57" s="124">
        <f t="shared" si="6"/>
        <v>0</v>
      </c>
      <c r="L57" s="3">
        <f t="shared" si="8"/>
        <v>0</v>
      </c>
      <c r="M57" s="3" t="e">
        <f t="shared" si="9"/>
        <v>#DIV/0!</v>
      </c>
      <c r="N57" s="124">
        <f t="shared" ref="N57:O61" si="12">M38</f>
        <v>0</v>
      </c>
      <c r="O57" s="124" t="e">
        <f t="shared" si="12"/>
        <v>#DIV/0!</v>
      </c>
    </row>
    <row r="58" spans="2:15">
      <c r="B58" s="8"/>
      <c r="C58" s="8"/>
      <c r="D58" s="8"/>
      <c r="H58" s="122">
        <v>6</v>
      </c>
      <c r="I58" s="123">
        <f t="shared" si="5"/>
        <v>0</v>
      </c>
      <c r="J58" s="127">
        <f t="shared" si="7"/>
        <v>0</v>
      </c>
      <c r="K58" s="124">
        <f t="shared" si="6"/>
        <v>0</v>
      </c>
      <c r="L58" s="3">
        <f t="shared" si="8"/>
        <v>0</v>
      </c>
      <c r="M58" s="3" t="e">
        <f t="shared" si="9"/>
        <v>#DIV/0!</v>
      </c>
      <c r="N58" s="124">
        <f t="shared" si="12"/>
        <v>0</v>
      </c>
      <c r="O58" s="124" t="e">
        <f t="shared" si="12"/>
        <v>#DIV/0!</v>
      </c>
    </row>
    <row r="59" spans="2:15">
      <c r="B59" s="8"/>
      <c r="C59" s="8"/>
      <c r="D59" s="8"/>
      <c r="H59" s="122">
        <v>7</v>
      </c>
      <c r="I59" s="123">
        <f t="shared" si="5"/>
        <v>0</v>
      </c>
      <c r="J59" s="127">
        <f t="shared" si="7"/>
        <v>0</v>
      </c>
      <c r="K59" s="124">
        <f t="shared" si="6"/>
        <v>0</v>
      </c>
      <c r="L59" s="3">
        <f t="shared" si="8"/>
        <v>0</v>
      </c>
      <c r="M59" s="3" t="e">
        <f t="shared" si="9"/>
        <v>#DIV/0!</v>
      </c>
      <c r="N59" s="124">
        <f t="shared" si="12"/>
        <v>0</v>
      </c>
      <c r="O59" s="124" t="e">
        <f t="shared" si="12"/>
        <v>#DIV/0!</v>
      </c>
    </row>
    <row r="60" spans="2:15">
      <c r="B60" s="8"/>
      <c r="C60" s="8"/>
      <c r="D60" s="8"/>
      <c r="H60" s="122">
        <v>8</v>
      </c>
      <c r="I60" s="123">
        <f t="shared" si="5"/>
        <v>0</v>
      </c>
      <c r="J60" s="127">
        <f t="shared" si="7"/>
        <v>0</v>
      </c>
      <c r="K60" s="124">
        <f t="shared" si="6"/>
        <v>0</v>
      </c>
      <c r="L60" s="3">
        <f t="shared" si="8"/>
        <v>0</v>
      </c>
      <c r="M60" s="3" t="e">
        <f t="shared" si="9"/>
        <v>#DIV/0!</v>
      </c>
      <c r="N60" s="124">
        <f t="shared" si="12"/>
        <v>0</v>
      </c>
      <c r="O60" s="124" t="e">
        <f t="shared" si="12"/>
        <v>#DIV/0!</v>
      </c>
    </row>
    <row r="61" spans="2:15">
      <c r="H61" s="122">
        <v>9</v>
      </c>
      <c r="I61" s="123">
        <f t="shared" si="5"/>
        <v>0</v>
      </c>
      <c r="J61" s="127">
        <f t="shared" si="7"/>
        <v>0</v>
      </c>
      <c r="K61" s="124">
        <f t="shared" si="6"/>
        <v>0</v>
      </c>
      <c r="L61" s="3">
        <f t="shared" si="8"/>
        <v>0</v>
      </c>
      <c r="M61" s="3" t="e">
        <f t="shared" si="9"/>
        <v>#DIV/0!</v>
      </c>
      <c r="N61" s="124">
        <f t="shared" si="12"/>
        <v>0</v>
      </c>
      <c r="O61" s="124" t="e">
        <f t="shared" si="12"/>
        <v>#DIV/0!</v>
      </c>
    </row>
    <row r="62" spans="2:15">
      <c r="H62" s="116" t="s">
        <v>150</v>
      </c>
      <c r="J62" s="124">
        <f>SUM(J49:J61)</f>
        <v>0</v>
      </c>
      <c r="K62" s="125"/>
      <c r="L62" s="124" t="e">
        <f>SUM(L49:L61)</f>
        <v>#DIV/0!</v>
      </c>
      <c r="M62" s="126" t="e">
        <f>L62/J62</f>
        <v>#DIV/0!</v>
      </c>
      <c r="N62" s="124"/>
      <c r="O62" s="124" t="e">
        <f>SUM(O49:O61)</f>
        <v>#DIV/0!</v>
      </c>
    </row>
  </sheetData>
  <phoneticPr fontId="39" type="noConversion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topLeftCell="A21" zoomScale="150" zoomScaleNormal="150" zoomScalePageLayoutView="150" workbookViewId="0">
      <selection activeCell="H48" sqref="H48:O62"/>
    </sheetView>
  </sheetViews>
  <sheetFormatPr baseColWidth="10" defaultRowHeight="14" x14ac:dyDescent="0"/>
  <cols>
    <col min="2" max="2" width="11.5" bestFit="1" customWidth="1"/>
  </cols>
  <sheetData>
    <row r="2" spans="1:11" ht="17">
      <c r="B2" s="2" t="s">
        <v>0</v>
      </c>
      <c r="C2" s="2" t="s">
        <v>2</v>
      </c>
      <c r="D2" s="2" t="s">
        <v>17</v>
      </c>
      <c r="E2" s="8"/>
      <c r="F2" s="8"/>
      <c r="G2" s="8"/>
      <c r="H2" s="8"/>
      <c r="I2" s="8"/>
      <c r="J2" s="8"/>
      <c r="K2" s="8"/>
    </row>
    <row r="3" spans="1:11">
      <c r="B3" s="2">
        <f>données!E3</f>
        <v>0</v>
      </c>
      <c r="C3" s="7">
        <f>données!H3</f>
        <v>0</v>
      </c>
      <c r="D3" s="6">
        <f>données!G3</f>
        <v>0</v>
      </c>
      <c r="E3" s="8"/>
      <c r="F3" s="8"/>
      <c r="G3" s="8"/>
      <c r="H3" s="8"/>
      <c r="I3" s="8"/>
      <c r="J3" s="8"/>
      <c r="K3" s="8"/>
    </row>
    <row r="4" spans="1:11"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7">
      <c r="B5" s="63" t="s">
        <v>74</v>
      </c>
      <c r="C5" s="63" t="s">
        <v>73</v>
      </c>
      <c r="D5" s="63" t="s">
        <v>71</v>
      </c>
      <c r="E5" s="63" t="s">
        <v>72</v>
      </c>
      <c r="F5" s="63" t="s">
        <v>73</v>
      </c>
      <c r="G5" s="8" t="s">
        <v>90</v>
      </c>
      <c r="H5" s="8"/>
      <c r="I5" s="8"/>
      <c r="J5" s="8"/>
      <c r="K5" s="8"/>
    </row>
    <row r="6" spans="1:11">
      <c r="B6" s="64" t="e">
        <f>0.76*B3*(C3/D3)^0.5</f>
        <v>#DIV/0!</v>
      </c>
      <c r="C6" s="64" t="e">
        <f>B6</f>
        <v>#DIV/0!</v>
      </c>
      <c r="D6" s="64" t="e">
        <f>largeur_eff_ame!#REF!</f>
        <v>#REF!</v>
      </c>
      <c r="E6" s="63" t="e">
        <f>largeur_eff_ame!#REF!</f>
        <v>#REF!</v>
      </c>
      <c r="F6" s="63"/>
      <c r="G6" s="8"/>
      <c r="H6" s="8"/>
      <c r="I6" s="8"/>
      <c r="J6" s="8"/>
      <c r="K6" s="8"/>
    </row>
    <row r="7" spans="1:11"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>
      <c r="B8" s="20" t="s">
        <v>8</v>
      </c>
      <c r="C8" s="8"/>
      <c r="D8" s="8"/>
      <c r="E8" s="8"/>
      <c r="F8" s="8"/>
      <c r="G8" s="8"/>
      <c r="H8" s="8"/>
      <c r="I8" s="8"/>
      <c r="J8" s="8"/>
      <c r="K8" s="8"/>
    </row>
    <row r="9" spans="1:11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7">
      <c r="B10" s="13" t="s">
        <v>5</v>
      </c>
      <c r="C10" s="13" t="s">
        <v>39</v>
      </c>
      <c r="D10" s="13" t="s">
        <v>46</v>
      </c>
      <c r="E10" s="13" t="s">
        <v>42</v>
      </c>
      <c r="F10" s="13" t="s">
        <v>40</v>
      </c>
      <c r="G10" s="13" t="s">
        <v>43</v>
      </c>
      <c r="H10" s="13" t="s">
        <v>41</v>
      </c>
      <c r="I10" s="21" t="s">
        <v>7</v>
      </c>
      <c r="J10" s="13" t="s">
        <v>44</v>
      </c>
      <c r="K10" s="22" t="s">
        <v>11</v>
      </c>
    </row>
    <row r="11" spans="1:11">
      <c r="B11" s="13" t="s">
        <v>113</v>
      </c>
      <c r="C11" s="13">
        <f>données!Q4/2</f>
        <v>0</v>
      </c>
      <c r="D11" s="110" t="e">
        <f>'raidisseur (3)'!C$42</f>
        <v>#DIV/0!</v>
      </c>
      <c r="E11" s="105" t="e">
        <f>C11*D11</f>
        <v>#DIV/0!</v>
      </c>
      <c r="F11" s="14">
        <f>données!J30+données!R5</f>
        <v>0</v>
      </c>
      <c r="G11" s="14" t="e">
        <f>E11*F11</f>
        <v>#DIV/0!</v>
      </c>
      <c r="H11" s="7" t="e">
        <f t="shared" ref="H11:H27" si="0">$H$28-F11</f>
        <v>#DIV/0!</v>
      </c>
      <c r="I11" s="28">
        <f>données!M30</f>
        <v>0</v>
      </c>
      <c r="J11" s="7" t="e">
        <f t="shared" ref="J11" si="1">E11*I11^2/12+E11*H11^2</f>
        <v>#DIV/0!</v>
      </c>
      <c r="K11" s="27"/>
    </row>
    <row r="12" spans="1:11">
      <c r="A12" s="78">
        <f>C12*B$3</f>
        <v>0</v>
      </c>
      <c r="B12" s="13">
        <v>1</v>
      </c>
      <c r="C12" s="14">
        <f>données!C30-C11</f>
        <v>0</v>
      </c>
      <c r="D12" s="110" t="e">
        <f>'raidisseur (3)'!C$42</f>
        <v>#DIV/0!</v>
      </c>
      <c r="E12" s="105" t="e">
        <f t="shared" ref="E12:E16" si="2">C12*D12</f>
        <v>#DIV/0!</v>
      </c>
      <c r="F12" s="14">
        <f>données!J30</f>
        <v>0</v>
      </c>
      <c r="G12" s="14" t="e">
        <f>E12*F12</f>
        <v>#DIV/0!</v>
      </c>
      <c r="H12" s="7" t="e">
        <f t="shared" si="0"/>
        <v>#DIV/0!</v>
      </c>
      <c r="I12" s="28">
        <f>données!M30</f>
        <v>0</v>
      </c>
      <c r="J12" s="7" t="e">
        <f t="shared" ref="J12" si="3">E12*I12^2/12+E12*H12^2</f>
        <v>#DIV/0!</v>
      </c>
      <c r="K12" s="27"/>
    </row>
    <row r="13" spans="1:11">
      <c r="A13" s="78">
        <f t="shared" ref="A13:A16" si="4">C13*B$3</f>
        <v>0</v>
      </c>
      <c r="B13" s="13">
        <v>2</v>
      </c>
      <c r="C13" s="14">
        <f>données!C31</f>
        <v>0</v>
      </c>
      <c r="D13" s="110" t="e">
        <f>'raidisseur (3)'!C$42</f>
        <v>#DIV/0!</v>
      </c>
      <c r="E13" s="105" t="e">
        <f t="shared" si="2"/>
        <v>#DIV/0!</v>
      </c>
      <c r="F13" s="14" t="e">
        <f>données!J31</f>
        <v>#DIV/0!</v>
      </c>
      <c r="G13" s="14" t="e">
        <f t="shared" ref="G13:G27" si="5">E13*F13</f>
        <v>#DIV/0!</v>
      </c>
      <c r="H13" s="7" t="e">
        <f t="shared" si="0"/>
        <v>#DIV/0!</v>
      </c>
      <c r="I13" s="28">
        <f>données!M31</f>
        <v>0</v>
      </c>
      <c r="J13" s="6" t="e">
        <f>D13*(données!$P$3^3*((données!$I$17+SIN(données!$I$17)*COS(données!$I$17))/2-SIN(données!$I$17)^2/données!$I$17))+E13*H13^2</f>
        <v>#DIV/0!</v>
      </c>
      <c r="K13" s="8"/>
    </row>
    <row r="14" spans="1:11">
      <c r="A14" s="78">
        <f t="shared" si="4"/>
        <v>0</v>
      </c>
      <c r="B14" s="13">
        <v>3</v>
      </c>
      <c r="C14" s="14">
        <f>données!C32</f>
        <v>0</v>
      </c>
      <c r="D14" s="110" t="e">
        <f>'raidisseur (3)'!C$42</f>
        <v>#DIV/0!</v>
      </c>
      <c r="E14" s="105" t="e">
        <f t="shared" si="2"/>
        <v>#DIV/0!</v>
      </c>
      <c r="F14" s="14">
        <f>données!J32</f>
        <v>0</v>
      </c>
      <c r="G14" s="14" t="e">
        <f t="shared" si="5"/>
        <v>#DIV/0!</v>
      </c>
      <c r="H14" s="7" t="e">
        <f t="shared" si="0"/>
        <v>#DIV/0!</v>
      </c>
      <c r="I14" s="28">
        <f>données!M32</f>
        <v>0</v>
      </c>
      <c r="J14" s="7" t="e">
        <f t="shared" ref="J14" si="6">E14*I14^2/12+E14*H14^2</f>
        <v>#DIV/0!</v>
      </c>
      <c r="K14" s="8"/>
    </row>
    <row r="15" spans="1:11">
      <c r="A15" s="78">
        <f t="shared" si="4"/>
        <v>0</v>
      </c>
      <c r="B15" s="13">
        <v>4</v>
      </c>
      <c r="C15" s="14">
        <f>données!C33</f>
        <v>0</v>
      </c>
      <c r="D15" s="110" t="e">
        <f>'raidisseur (3)'!C$42</f>
        <v>#DIV/0!</v>
      </c>
      <c r="E15" s="105" t="e">
        <f t="shared" si="2"/>
        <v>#DIV/0!</v>
      </c>
      <c r="F15" s="14" t="e">
        <f>données!J33</f>
        <v>#DIV/0!</v>
      </c>
      <c r="G15" s="14" t="e">
        <f t="shared" si="5"/>
        <v>#DIV/0!</v>
      </c>
      <c r="H15" s="7" t="e">
        <f t="shared" si="0"/>
        <v>#DIV/0!</v>
      </c>
      <c r="I15" s="28">
        <f>données!M33</f>
        <v>0</v>
      </c>
      <c r="J15" s="6" t="e">
        <f>D15*(données!$P$3^3*((données!$I$17+SIN(données!$I$17)*COS(données!$I$17))/2-SIN(données!$I$17)^2/données!$I$17))+E15*H15^2</f>
        <v>#DIV/0!</v>
      </c>
      <c r="K15" s="8"/>
    </row>
    <row r="16" spans="1:11">
      <c r="A16" s="78" t="e">
        <f t="shared" si="4"/>
        <v>#DIV/0!</v>
      </c>
      <c r="B16" s="13">
        <v>51</v>
      </c>
      <c r="C16" s="14" t="e">
        <f>'largeur_eff_semelle (3)'!O5-données!I19</f>
        <v>#DIV/0!</v>
      </c>
      <c r="D16" s="110" t="e">
        <f>'raidisseur (3)'!C$42</f>
        <v>#DIV/0!</v>
      </c>
      <c r="E16" s="105" t="e">
        <f t="shared" si="2"/>
        <v>#DIV/0!</v>
      </c>
      <c r="F16" s="14">
        <f>données!J34</f>
        <v>0</v>
      </c>
      <c r="G16" s="14" t="e">
        <f t="shared" si="5"/>
        <v>#DIV/0!</v>
      </c>
      <c r="H16" s="7" t="e">
        <f t="shared" si="0"/>
        <v>#DIV/0!</v>
      </c>
      <c r="I16" s="28">
        <f>données!M34</f>
        <v>0</v>
      </c>
      <c r="J16" s="7" t="e">
        <f t="shared" ref="J16:J17" si="7">E16*I16^2/12+E16*H16^2</f>
        <v>#DIV/0!</v>
      </c>
      <c r="K16" s="8"/>
    </row>
    <row r="17" spans="1:11">
      <c r="A17" s="78"/>
      <c r="B17" s="13">
        <v>52</v>
      </c>
      <c r="C17" s="133" t="e">
        <f>('largeur_eff_semelle (3)'!O5-données!C21)</f>
        <v>#DIV/0!</v>
      </c>
      <c r="D17" s="23">
        <f>$B$3</f>
        <v>0</v>
      </c>
      <c r="E17" s="14" t="e">
        <f t="shared" ref="E17:E27" si="8">C17*D17</f>
        <v>#DIV/0!</v>
      </c>
      <c r="F17" s="14">
        <f>données!J34</f>
        <v>0</v>
      </c>
      <c r="G17" s="14" t="e">
        <f t="shared" si="5"/>
        <v>#DIV/0!</v>
      </c>
      <c r="H17" s="7" t="e">
        <f t="shared" si="0"/>
        <v>#DIV/0!</v>
      </c>
      <c r="I17" s="28">
        <f>données!M34</f>
        <v>0</v>
      </c>
      <c r="J17" s="7" t="e">
        <f t="shared" si="7"/>
        <v>#DIV/0!</v>
      </c>
      <c r="K17" s="8"/>
    </row>
    <row r="18" spans="1:11">
      <c r="A18" s="78"/>
      <c r="B18" s="13">
        <v>6</v>
      </c>
      <c r="C18" s="14">
        <f>données!C35</f>
        <v>0</v>
      </c>
      <c r="D18" s="23">
        <f t="shared" ref="D18" si="9">$B$3</f>
        <v>0</v>
      </c>
      <c r="E18" s="14">
        <f t="shared" si="8"/>
        <v>0</v>
      </c>
      <c r="F18" s="14" t="e">
        <f>données!J35</f>
        <v>#DIV/0!</v>
      </c>
      <c r="G18" s="14" t="e">
        <f t="shared" si="5"/>
        <v>#DIV/0!</v>
      </c>
      <c r="H18" s="7" t="e">
        <f t="shared" si="0"/>
        <v>#DIV/0!</v>
      </c>
      <c r="I18" s="28">
        <f>données!M35</f>
        <v>0</v>
      </c>
      <c r="J18" s="6" t="e">
        <f>D18*données!J$3^3*((données!B$3+SIN(données!B$3)*COS(données!B$3))/2-SIN(données!B$3)^2/données!B$3)+E18*H18^2</f>
        <v>#DIV/0!</v>
      </c>
      <c r="K18" s="8"/>
    </row>
    <row r="19" spans="1:11">
      <c r="A19" s="78"/>
      <c r="B19" s="13">
        <v>7</v>
      </c>
      <c r="C19" s="14">
        <f>données!C36</f>
        <v>0</v>
      </c>
      <c r="D19" s="103">
        <f>$B$3</f>
        <v>0</v>
      </c>
      <c r="E19" s="14">
        <f t="shared" si="8"/>
        <v>0</v>
      </c>
      <c r="F19" s="14">
        <f>données!J36</f>
        <v>0</v>
      </c>
      <c r="G19" s="14">
        <f t="shared" si="5"/>
        <v>0</v>
      </c>
      <c r="H19" s="7" t="e">
        <f t="shared" si="0"/>
        <v>#DIV/0!</v>
      </c>
      <c r="I19" s="28">
        <f>données!M36</f>
        <v>0</v>
      </c>
      <c r="J19" s="7" t="e">
        <f>E19*I19^2/12+E19*H19^2</f>
        <v>#DIV/0!</v>
      </c>
      <c r="K19" s="8"/>
    </row>
    <row r="20" spans="1:11">
      <c r="A20" s="78"/>
      <c r="B20" s="13" t="s">
        <v>117</v>
      </c>
      <c r="C20" s="14">
        <f>-données!$Q$3</f>
        <v>-14.125</v>
      </c>
      <c r="D20" s="81">
        <f t="shared" ref="D20" si="10">$B$3</f>
        <v>0</v>
      </c>
      <c r="E20" s="14">
        <f t="shared" si="8"/>
        <v>0</v>
      </c>
      <c r="F20" s="14">
        <f>résistance_section!$F$20</f>
        <v>-28.625</v>
      </c>
      <c r="G20" s="14">
        <f t="shared" si="5"/>
        <v>0</v>
      </c>
      <c r="H20" s="7" t="e">
        <f t="shared" si="0"/>
        <v>#DIV/0!</v>
      </c>
      <c r="I20" s="111">
        <f>-C20*SIN(données!$B$3)</f>
        <v>0</v>
      </c>
      <c r="J20" s="7" t="e">
        <f t="shared" ref="J20:J21" si="11">E20*I20^2/12+E20*H20^2</f>
        <v>#DIV/0!</v>
      </c>
      <c r="K20" s="8"/>
    </row>
    <row r="21" spans="1:11">
      <c r="A21" s="78"/>
      <c r="B21" s="13" t="s">
        <v>117</v>
      </c>
      <c r="C21" s="14">
        <f>données!$Q$3</f>
        <v>14.125</v>
      </c>
      <c r="D21" s="81">
        <f>$B$3*données!P4</f>
        <v>0</v>
      </c>
      <c r="E21" s="14">
        <f t="shared" si="8"/>
        <v>0</v>
      </c>
      <c r="F21" s="14">
        <f>résistance_section!$F$21</f>
        <v>-28.625</v>
      </c>
      <c r="G21" s="14">
        <f t="shared" si="5"/>
        <v>0</v>
      </c>
      <c r="H21" s="7" t="e">
        <f t="shared" si="0"/>
        <v>#DIV/0!</v>
      </c>
      <c r="I21" s="111">
        <f>C21*SIN(données!$B$3)</f>
        <v>0</v>
      </c>
      <c r="J21" s="7" t="e">
        <f t="shared" si="11"/>
        <v>#DIV/0!</v>
      </c>
      <c r="K21" s="8"/>
    </row>
    <row r="22" spans="1:11">
      <c r="A22" s="78"/>
      <c r="B22" s="13">
        <v>8</v>
      </c>
      <c r="C22" s="14">
        <f>données!C37</f>
        <v>0</v>
      </c>
      <c r="D22" s="23">
        <f>$B$3</f>
        <v>0</v>
      </c>
      <c r="E22" s="14">
        <f t="shared" si="8"/>
        <v>0</v>
      </c>
      <c r="F22" s="14" t="e">
        <f>données!J37</f>
        <v>#DIV/0!</v>
      </c>
      <c r="G22" s="14" t="e">
        <f t="shared" si="5"/>
        <v>#DIV/0!</v>
      </c>
      <c r="H22" s="7" t="e">
        <f t="shared" si="0"/>
        <v>#DIV/0!</v>
      </c>
      <c r="I22" s="28">
        <f>données!M37</f>
        <v>0</v>
      </c>
      <c r="J22" s="6" t="e">
        <f>D22*données!I$3^3*((données!B$3+SIN(données!B$3)*COS(données!B$3))/2-SIN(données!B$3)^2/données!B$3)+E22*H22^2</f>
        <v>#DIV/0!</v>
      </c>
      <c r="K22" s="8"/>
    </row>
    <row r="23" spans="1:11">
      <c r="A23" s="78"/>
      <c r="B23" s="13">
        <v>9</v>
      </c>
      <c r="C23" s="14">
        <f>données!C38</f>
        <v>0</v>
      </c>
      <c r="D23" s="23">
        <f>$B$3</f>
        <v>0</v>
      </c>
      <c r="E23" s="14">
        <f>C23*D23</f>
        <v>0</v>
      </c>
      <c r="F23" s="14">
        <f>données!J38</f>
        <v>0</v>
      </c>
      <c r="G23" s="14">
        <f t="shared" si="5"/>
        <v>0</v>
      </c>
      <c r="H23" s="7" t="e">
        <f t="shared" si="0"/>
        <v>#DIV/0!</v>
      </c>
      <c r="I23" s="28">
        <f>données!M38</f>
        <v>0</v>
      </c>
      <c r="J23" s="7" t="e">
        <f>E23*I23^2/12+E23*H23^2</f>
        <v>#DIV/0!</v>
      </c>
      <c r="K23" s="8"/>
    </row>
    <row r="24" spans="1:11">
      <c r="A24" s="5"/>
      <c r="B24" s="13">
        <v>11</v>
      </c>
      <c r="C24" s="14">
        <f>données!C39</f>
        <v>0</v>
      </c>
      <c r="D24" s="23">
        <f t="shared" ref="D24:D27" si="12">$B$3</f>
        <v>0</v>
      </c>
      <c r="E24" s="14">
        <f t="shared" si="8"/>
        <v>0</v>
      </c>
      <c r="F24" s="14">
        <f>données!J39</f>
        <v>0</v>
      </c>
      <c r="G24" s="14">
        <f t="shared" si="5"/>
        <v>0</v>
      </c>
      <c r="H24" s="7" t="e">
        <f t="shared" si="0"/>
        <v>#DIV/0!</v>
      </c>
      <c r="I24" s="28">
        <f>données!M39</f>
        <v>0</v>
      </c>
      <c r="J24" s="7" t="e">
        <f>E24*I24^2/12+E24*H24^2</f>
        <v>#DIV/0!</v>
      </c>
      <c r="K24" s="8"/>
    </row>
    <row r="25" spans="1:11">
      <c r="A25" s="5"/>
      <c r="B25" s="13">
        <v>13</v>
      </c>
      <c r="C25" s="14">
        <f>données!C40</f>
        <v>0</v>
      </c>
      <c r="D25" s="23">
        <f t="shared" si="12"/>
        <v>0</v>
      </c>
      <c r="E25" s="14">
        <f t="shared" si="8"/>
        <v>0</v>
      </c>
      <c r="F25" s="14">
        <f>données!J40</f>
        <v>0</v>
      </c>
      <c r="G25" s="14">
        <f t="shared" si="5"/>
        <v>0</v>
      </c>
      <c r="H25" s="7" t="e">
        <f t="shared" si="0"/>
        <v>#DIV/0!</v>
      </c>
      <c r="I25" s="28">
        <f>données!M40</f>
        <v>0</v>
      </c>
      <c r="J25" s="7" t="e">
        <f t="shared" ref="J25:J27" si="13">E25*I25^2/12+E25*H25^2</f>
        <v>#DIV/0!</v>
      </c>
      <c r="K25" s="8"/>
    </row>
    <row r="26" spans="1:11">
      <c r="B26" s="13">
        <v>15</v>
      </c>
      <c r="C26" s="14">
        <f>données!C41</f>
        <v>0</v>
      </c>
      <c r="D26" s="23">
        <f t="shared" si="12"/>
        <v>0</v>
      </c>
      <c r="E26" s="14">
        <f t="shared" si="8"/>
        <v>0</v>
      </c>
      <c r="F26" s="14">
        <f>données!J41</f>
        <v>0</v>
      </c>
      <c r="G26" s="14">
        <f t="shared" si="5"/>
        <v>0</v>
      </c>
      <c r="H26" s="7" t="e">
        <f t="shared" si="0"/>
        <v>#DIV/0!</v>
      </c>
      <c r="I26" s="28">
        <f>données!M41</f>
        <v>0</v>
      </c>
      <c r="J26" s="7" t="e">
        <f t="shared" si="13"/>
        <v>#DIV/0!</v>
      </c>
      <c r="K26" s="8"/>
    </row>
    <row r="27" spans="1:11">
      <c r="B27" s="13">
        <v>17</v>
      </c>
      <c r="C27" s="14">
        <f>données!C42</f>
        <v>0</v>
      </c>
      <c r="D27" s="23">
        <f t="shared" si="12"/>
        <v>0</v>
      </c>
      <c r="E27" s="14">
        <f t="shared" si="8"/>
        <v>0</v>
      </c>
      <c r="F27" s="14">
        <f>données!J42</f>
        <v>0</v>
      </c>
      <c r="G27" s="14">
        <f t="shared" si="5"/>
        <v>0</v>
      </c>
      <c r="H27" s="7" t="e">
        <f t="shared" si="0"/>
        <v>#DIV/0!</v>
      </c>
      <c r="I27" s="28">
        <f>données!M42</f>
        <v>0</v>
      </c>
      <c r="J27" s="7" t="e">
        <f t="shared" si="13"/>
        <v>#DIV/0!</v>
      </c>
      <c r="K27" s="8"/>
    </row>
    <row r="28" spans="1:11">
      <c r="B28" s="13" t="s">
        <v>6</v>
      </c>
      <c r="C28" s="8"/>
      <c r="D28" s="8"/>
      <c r="E28" s="24" t="e">
        <f>SUM(E11:E27)</f>
        <v>#DIV/0!</v>
      </c>
      <c r="F28" s="8"/>
      <c r="G28" s="24" t="e">
        <f>SUM(G11:G27)</f>
        <v>#DIV/0!</v>
      </c>
      <c r="H28" s="107" t="e">
        <f>G28/E28</f>
        <v>#DIV/0!</v>
      </c>
      <c r="I28" s="8"/>
      <c r="J28" s="12" t="e">
        <f>SUM(J11:J27)</f>
        <v>#DIV/0!</v>
      </c>
      <c r="K28" s="8" t="s">
        <v>75</v>
      </c>
    </row>
    <row r="29" spans="1:11">
      <c r="B29" s="8"/>
      <c r="C29" s="8"/>
      <c r="D29" s="8"/>
      <c r="E29" s="8"/>
      <c r="F29" s="8"/>
      <c r="G29" s="8"/>
      <c r="H29" s="9" t="e">
        <f>données!L3-H28</f>
        <v>#DIV/0!</v>
      </c>
      <c r="I29" s="8"/>
      <c r="J29" s="8" t="e">
        <f>J28*2</f>
        <v>#DIV/0!</v>
      </c>
      <c r="K29" s="8" t="s">
        <v>77</v>
      </c>
    </row>
    <row r="30" spans="1:11">
      <c r="B30" s="8" t="s">
        <v>50</v>
      </c>
      <c r="C30" s="8" t="e">
        <f>J28/MAX(H28,H29)</f>
        <v>#DIV/0!</v>
      </c>
      <c r="D30" s="8" t="s">
        <v>75</v>
      </c>
      <c r="E30" s="8"/>
      <c r="F30" s="8"/>
      <c r="G30" s="8"/>
      <c r="H30" s="8"/>
      <c r="I30" s="8"/>
      <c r="J30" s="8" t="e">
        <f>J29/données!K3</f>
        <v>#DIV/0!</v>
      </c>
      <c r="K30" s="8" t="s">
        <v>103</v>
      </c>
    </row>
    <row r="31" spans="1:11">
      <c r="B31" s="8" t="s">
        <v>50</v>
      </c>
      <c r="C31" s="8" t="e">
        <f>2*C30</f>
        <v>#DIV/0!</v>
      </c>
      <c r="D31" s="8" t="s">
        <v>77</v>
      </c>
      <c r="E31" s="8"/>
      <c r="F31" s="8"/>
      <c r="G31" s="8"/>
      <c r="H31" s="8"/>
      <c r="I31" s="8"/>
      <c r="J31" s="8"/>
      <c r="K31" s="8"/>
    </row>
    <row r="32" spans="1:11">
      <c r="B32" s="8" t="s">
        <v>50</v>
      </c>
      <c r="C32" s="8" t="e">
        <f>C31/données!K3</f>
        <v>#DIV/0!</v>
      </c>
      <c r="D32" s="8" t="s">
        <v>78</v>
      </c>
      <c r="E32" s="8"/>
      <c r="F32" s="8"/>
      <c r="G32" s="8"/>
      <c r="H32" s="8"/>
      <c r="I32" s="8"/>
      <c r="J32" s="8"/>
      <c r="K32" s="8"/>
    </row>
    <row r="33" spans="2:11"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2:11">
      <c r="B34" s="8" t="s">
        <v>12</v>
      </c>
      <c r="C34" s="8" t="s">
        <v>12</v>
      </c>
      <c r="D34" s="8"/>
      <c r="E34" s="8"/>
      <c r="F34" s="8"/>
      <c r="G34" s="8"/>
      <c r="H34" s="8"/>
      <c r="I34" s="8"/>
      <c r="J34" s="8"/>
      <c r="K34" s="8"/>
    </row>
    <row r="35" spans="2:11">
      <c r="B35" s="79" t="e">
        <f>D3*C32*1</f>
        <v>#DIV/0!</v>
      </c>
      <c r="C35" s="79" t="s">
        <v>79</v>
      </c>
      <c r="D35" s="80"/>
      <c r="E35" s="80" t="e">
        <f>B35*0.965</f>
        <v>#DIV/0!</v>
      </c>
      <c r="F35" s="82">
        <v>7843.1501932231167</v>
      </c>
      <c r="G35" s="8"/>
      <c r="H35" s="8"/>
      <c r="I35" s="8"/>
      <c r="J35" s="8"/>
      <c r="K35" s="8"/>
    </row>
    <row r="36" spans="2:11">
      <c r="B36" s="46" t="e">
        <f>B35/1000</f>
        <v>#DIV/0!</v>
      </c>
      <c r="C36" t="s">
        <v>80</v>
      </c>
      <c r="D36" t="e">
        <f>(21.73-B36)/21.73</f>
        <v>#DIV/0!</v>
      </c>
    </row>
    <row r="37" spans="2:11">
      <c r="B37" s="29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orkbookViewId="0">
      <selection activeCell="H48" sqref="H48:O62"/>
    </sheetView>
  </sheetViews>
  <sheetFormatPr baseColWidth="10" defaultRowHeight="14" x14ac:dyDescent="0"/>
  <cols>
    <col min="2" max="2" width="5.5" bestFit="1" customWidth="1"/>
    <col min="3" max="3" width="4.5" bestFit="1" customWidth="1"/>
    <col min="4" max="4" width="11.33203125" bestFit="1" customWidth="1"/>
    <col min="5" max="5" width="10.33203125" bestFit="1" customWidth="1"/>
    <col min="6" max="6" width="4.5" bestFit="1" customWidth="1"/>
    <col min="7" max="7" width="6.83203125" customWidth="1"/>
    <col min="8" max="8" width="4.5" customWidth="1"/>
    <col min="9" max="9" width="5.5" bestFit="1" customWidth="1"/>
    <col min="10" max="10" width="7.1640625" customWidth="1"/>
    <col min="11" max="11" width="5.5" customWidth="1"/>
    <col min="12" max="12" width="7.6640625" customWidth="1"/>
    <col min="13" max="13" width="5.5" bestFit="1" customWidth="1"/>
    <col min="14" max="14" width="7.83203125" bestFit="1" customWidth="1"/>
    <col min="15" max="15" width="8.5" bestFit="1" customWidth="1"/>
  </cols>
  <sheetData>
    <row r="2" spans="2:15">
      <c r="B2" s="8" t="s">
        <v>15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7">
      <c r="B4" s="2" t="s">
        <v>18</v>
      </c>
      <c r="C4" s="2" t="s">
        <v>0</v>
      </c>
      <c r="D4" s="2" t="s">
        <v>17</v>
      </c>
      <c r="E4" s="2" t="s">
        <v>2</v>
      </c>
      <c r="F4" s="2" t="s">
        <v>1</v>
      </c>
      <c r="G4" s="41" t="s">
        <v>67</v>
      </c>
      <c r="H4" s="38" t="s">
        <v>63</v>
      </c>
      <c r="I4" s="2" t="s">
        <v>19</v>
      </c>
      <c r="J4" s="39" t="s">
        <v>65</v>
      </c>
      <c r="K4" s="40" t="s">
        <v>66</v>
      </c>
      <c r="L4" s="2" t="s">
        <v>64</v>
      </c>
      <c r="M4" s="2" t="s">
        <v>3</v>
      </c>
      <c r="N4" s="10" t="s">
        <v>20</v>
      </c>
      <c r="O4" s="10" t="s">
        <v>4</v>
      </c>
    </row>
    <row r="5" spans="2:15">
      <c r="B5" s="7">
        <f>largeur_eff_semelle!B5</f>
        <v>0</v>
      </c>
      <c r="C5" s="7">
        <f>données!E3</f>
        <v>0</v>
      </c>
      <c r="D5" s="36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MIN(D5,D5*(données!L3-'résistance_section (3)'!H28)/'résistance_section (3)'!H28)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56" t="e">
        <f>MAX(N5/2,données!C21)</f>
        <v>#DIV/0!</v>
      </c>
    </row>
    <row r="6" spans="2:15">
      <c r="B6" s="8"/>
      <c r="C6" s="8"/>
      <c r="D6" s="3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>
      <c r="B7" s="8"/>
      <c r="C7" s="8"/>
      <c r="D7" s="37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>
      <c r="B8" s="8"/>
      <c r="C8" s="8"/>
      <c r="D8" s="37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>
      <c r="B9" s="2"/>
      <c r="C9" s="2"/>
      <c r="D9" s="10"/>
      <c r="E9" s="2"/>
      <c r="F9" s="2"/>
      <c r="G9" s="41"/>
      <c r="H9" s="38"/>
      <c r="I9" s="2"/>
      <c r="J9" s="39"/>
      <c r="K9" s="40"/>
      <c r="L9" s="2"/>
      <c r="M9" s="2"/>
      <c r="N9" s="10"/>
      <c r="O9" s="10"/>
    </row>
    <row r="10" spans="2:15">
      <c r="B10" s="12"/>
      <c r="C10" s="7"/>
      <c r="D10" s="36"/>
      <c r="E10" s="7"/>
      <c r="F10" s="7"/>
      <c r="G10" s="7"/>
      <c r="H10" s="7"/>
      <c r="I10" s="11"/>
      <c r="J10" s="11"/>
      <c r="K10" s="11"/>
      <c r="L10" s="11"/>
      <c r="M10" s="11"/>
      <c r="N10" s="7"/>
      <c r="O10" s="5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orkbookViewId="0">
      <selection activeCell="H48" sqref="H48:O62"/>
    </sheetView>
  </sheetViews>
  <sheetFormatPr baseColWidth="10" defaultRowHeight="14" x14ac:dyDescent="0"/>
  <cols>
    <col min="2" max="2" width="11.5" bestFit="1" customWidth="1"/>
    <col min="3" max="3" width="7.6640625" bestFit="1" customWidth="1"/>
    <col min="4" max="4" width="8.33203125" bestFit="1" customWidth="1"/>
    <col min="5" max="5" width="11.1640625" customWidth="1"/>
    <col min="6" max="6" width="8.5" customWidth="1"/>
    <col min="7" max="7" width="10.33203125" bestFit="1" customWidth="1"/>
    <col min="8" max="8" width="7.5" bestFit="1" customWidth="1"/>
    <col min="11" max="11" width="14.83203125" bestFit="1" customWidth="1"/>
    <col min="12" max="12" width="17" customWidth="1"/>
    <col min="13" max="13" width="17" bestFit="1" customWidth="1"/>
    <col min="14" max="15" width="14.83203125" bestFit="1" customWidth="1"/>
    <col min="16" max="16" width="16.1640625" bestFit="1" customWidth="1"/>
    <col min="17" max="17" width="17" bestFit="1" customWidth="1"/>
    <col min="18" max="18" width="14.83203125" bestFit="1" customWidth="1"/>
  </cols>
  <sheetData>
    <row r="2" spans="1:18" ht="17">
      <c r="B2" s="2" t="s">
        <v>21</v>
      </c>
      <c r="C2" s="2" t="s">
        <v>18</v>
      </c>
      <c r="D2" s="2" t="s">
        <v>0</v>
      </c>
      <c r="E2" s="2" t="s">
        <v>2</v>
      </c>
      <c r="F2" s="8"/>
      <c r="G2" s="8"/>
      <c r="H2" s="8"/>
      <c r="I2" s="8"/>
    </row>
    <row r="3" spans="1:18">
      <c r="B3" s="7">
        <f>(données!C30+données!C31+données!C32+données!C33/2)*2</f>
        <v>0</v>
      </c>
      <c r="C3" s="7">
        <f>largeur_eff_semelle!B5</f>
        <v>0</v>
      </c>
      <c r="D3" s="2">
        <f>données!E3</f>
        <v>0</v>
      </c>
      <c r="E3" s="7">
        <f>données!H3</f>
        <v>0</v>
      </c>
      <c r="F3" s="8"/>
      <c r="G3" s="8"/>
      <c r="H3" s="8"/>
      <c r="I3" s="8"/>
    </row>
    <row r="4" spans="1:18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7">
      <c r="B5" s="13" t="s">
        <v>5</v>
      </c>
      <c r="C5" s="13" t="s">
        <v>39</v>
      </c>
      <c r="D5" s="13" t="s">
        <v>42</v>
      </c>
      <c r="E5" s="13" t="s">
        <v>40</v>
      </c>
      <c r="F5" s="13" t="s">
        <v>43</v>
      </c>
      <c r="G5" s="13" t="s">
        <v>41</v>
      </c>
      <c r="H5" s="13" t="s">
        <v>7</v>
      </c>
      <c r="I5" s="13" t="s">
        <v>44</v>
      </c>
      <c r="J5" s="8"/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13" t="s">
        <v>36</v>
      </c>
      <c r="R5" s="13"/>
    </row>
    <row r="6" spans="1:18" ht="17">
      <c r="A6" s="4"/>
      <c r="B6" s="13" t="s">
        <v>68</v>
      </c>
      <c r="C6" s="14">
        <f>15*D3-données!I19</f>
        <v>0</v>
      </c>
      <c r="D6" s="14">
        <f>C6*$D$3</f>
        <v>0</v>
      </c>
      <c r="E6" s="14">
        <v>0</v>
      </c>
      <c r="F6" s="14">
        <f>D6*E6</f>
        <v>0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37</v>
      </c>
      <c r="L6" s="2"/>
      <c r="M6" s="2" t="s">
        <v>38</v>
      </c>
      <c r="N6" s="2"/>
      <c r="O6" s="2" t="s">
        <v>82</v>
      </c>
      <c r="P6" s="2"/>
      <c r="Q6" s="2" t="s">
        <v>83</v>
      </c>
      <c r="R6" s="2"/>
    </row>
    <row r="7" spans="1:18">
      <c r="A7" s="4"/>
      <c r="B7" s="13">
        <v>2</v>
      </c>
      <c r="C7" s="14">
        <f>données!C33</f>
        <v>0</v>
      </c>
      <c r="D7" s="14">
        <f t="shared" ref="D7:D15" si="0">C7*$D$3</f>
        <v>0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>
      <c r="A8" s="4"/>
      <c r="B8" s="13">
        <v>3</v>
      </c>
      <c r="C8" s="14">
        <f>données!C32</f>
        <v>0</v>
      </c>
      <c r="D8" s="14">
        <f t="shared" si="0"/>
        <v>0</v>
      </c>
      <c r="E8" s="42">
        <f>données!N3/2</f>
        <v>0</v>
      </c>
      <c r="F8" s="14">
        <f t="shared" si="1"/>
        <v>0</v>
      </c>
      <c r="G8" s="15" t="e">
        <f t="shared" si="2"/>
        <v>#DIV/0!</v>
      </c>
      <c r="H8" s="15">
        <f>données!M32</f>
        <v>0</v>
      </c>
      <c r="I8" s="7" t="e">
        <f>D8*H8^2/12+D8*G8^2</f>
        <v>#DIV/0!</v>
      </c>
      <c r="J8" s="8"/>
      <c r="K8" s="8"/>
      <c r="L8" s="8"/>
    </row>
    <row r="9" spans="1:18">
      <c r="A9" s="4"/>
      <c r="B9" s="13">
        <v>4</v>
      </c>
      <c r="C9" s="14">
        <f>données!C31</f>
        <v>0</v>
      </c>
      <c r="D9" s="14">
        <f t="shared" si="0"/>
        <v>0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>
      <c r="A10" s="4"/>
      <c r="B10" s="13">
        <v>5</v>
      </c>
      <c r="C10" s="14">
        <f>données!C30</f>
        <v>0</v>
      </c>
      <c r="D10" s="14">
        <f t="shared" si="0"/>
        <v>0</v>
      </c>
      <c r="E10" s="42">
        <f>données!N3</f>
        <v>0</v>
      </c>
      <c r="F10" s="14">
        <f t="shared" si="1"/>
        <v>0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14</v>
      </c>
      <c r="L10" s="8" t="e">
        <f>F16/#REF!</f>
        <v>#DIV/0!</v>
      </c>
    </row>
    <row r="11" spans="1:18">
      <c r="A11" s="4"/>
      <c r="B11" s="13">
        <v>6</v>
      </c>
      <c r="C11" s="14">
        <f>C10</f>
        <v>0</v>
      </c>
      <c r="D11" s="14">
        <f t="shared" si="0"/>
        <v>0</v>
      </c>
      <c r="E11" s="16">
        <f>E10</f>
        <v>0</v>
      </c>
      <c r="F11" s="14">
        <f t="shared" si="1"/>
        <v>0</v>
      </c>
      <c r="G11" s="15" t="e">
        <f t="shared" si="2"/>
        <v>#DIV/0!</v>
      </c>
      <c r="H11" s="15">
        <f>H10</f>
        <v>0</v>
      </c>
      <c r="I11" s="54" t="e">
        <f>I10</f>
        <v>#DIV/0!</v>
      </c>
      <c r="J11" s="8"/>
    </row>
    <row r="12" spans="1:18">
      <c r="A12" s="4"/>
      <c r="B12" s="13">
        <v>7</v>
      </c>
      <c r="C12" s="14">
        <f>C9</f>
        <v>0</v>
      </c>
      <c r="D12" s="14">
        <f t="shared" si="0"/>
        <v>0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99" t="e">
        <f>I9</f>
        <v>#DIV/0!</v>
      </c>
      <c r="J12" s="8"/>
    </row>
    <row r="13" spans="1:18">
      <c r="A13" s="4"/>
      <c r="B13" s="13">
        <v>8</v>
      </c>
      <c r="C13" s="14">
        <f>C8</f>
        <v>0</v>
      </c>
      <c r="D13" s="14">
        <f t="shared" si="0"/>
        <v>0</v>
      </c>
      <c r="E13" s="14">
        <f>E8</f>
        <v>0</v>
      </c>
      <c r="F13" s="14">
        <f t="shared" si="1"/>
        <v>0</v>
      </c>
      <c r="G13" s="15" t="e">
        <f t="shared" si="2"/>
        <v>#DIV/0!</v>
      </c>
      <c r="H13" s="14">
        <f>H8</f>
        <v>0</v>
      </c>
      <c r="I13" s="100" t="e">
        <f>I8</f>
        <v>#DIV/0!</v>
      </c>
      <c r="J13" s="8"/>
    </row>
    <row r="14" spans="1:18">
      <c r="A14" s="4"/>
      <c r="B14" s="13">
        <v>9</v>
      </c>
      <c r="C14" s="14">
        <f>C7</f>
        <v>0</v>
      </c>
      <c r="D14" s="14">
        <f t="shared" si="0"/>
        <v>0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01" t="e">
        <f>I7</f>
        <v>#DIV/0!</v>
      </c>
      <c r="J14" s="8"/>
    </row>
    <row r="15" spans="1:18">
      <c r="B15" s="13" t="s">
        <v>69</v>
      </c>
      <c r="C15" s="14">
        <f>15*D3-données!I19</f>
        <v>0</v>
      </c>
      <c r="D15" s="14">
        <f t="shared" si="0"/>
        <v>0</v>
      </c>
      <c r="E15" s="14">
        <v>0</v>
      </c>
      <c r="F15" s="14">
        <f t="shared" si="1"/>
        <v>0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>
      <c r="B16" s="25" t="s">
        <v>6</v>
      </c>
      <c r="C16" s="16"/>
      <c r="D16" s="26">
        <f>SUM(D6:D15)</f>
        <v>0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>
      <c r="B17" s="18"/>
      <c r="C17" s="17"/>
      <c r="D17" s="17"/>
      <c r="E17" s="17"/>
      <c r="F17" s="17"/>
      <c r="G17" s="17"/>
      <c r="H17" s="17"/>
      <c r="I17" s="108"/>
      <c r="J17" s="8"/>
    </row>
    <row r="18" spans="1:18" ht="17">
      <c r="B18" s="13" t="s">
        <v>5</v>
      </c>
      <c r="C18" s="13" t="s">
        <v>39</v>
      </c>
      <c r="D18" s="13" t="s">
        <v>42</v>
      </c>
      <c r="E18" s="13"/>
      <c r="F18" s="13"/>
      <c r="G18" s="13"/>
      <c r="H18" s="13"/>
      <c r="I18" s="13"/>
      <c r="J18" s="8"/>
      <c r="K18" s="13" t="s">
        <v>30</v>
      </c>
      <c r="L18" s="13" t="s">
        <v>31</v>
      </c>
      <c r="M18" s="13" t="s">
        <v>32</v>
      </c>
      <c r="N18" s="13" t="s">
        <v>33</v>
      </c>
      <c r="O18" s="13" t="s">
        <v>34</v>
      </c>
      <c r="P18" s="13" t="s">
        <v>35</v>
      </c>
      <c r="Q18" s="13" t="s">
        <v>36</v>
      </c>
      <c r="R18" s="13"/>
    </row>
    <row r="19" spans="1:18" ht="17">
      <c r="A19" s="4"/>
      <c r="B19" s="13" t="s">
        <v>68</v>
      </c>
      <c r="C19" s="14" t="e">
        <f>'largeur_eff_semelle (4)'!O5-données!I19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37</v>
      </c>
      <c r="L19" s="2"/>
      <c r="M19" s="2" t="s">
        <v>38</v>
      </c>
      <c r="N19" s="2"/>
      <c r="O19" s="2" t="s">
        <v>82</v>
      </c>
      <c r="P19" s="2"/>
      <c r="Q19" s="2" t="s">
        <v>83</v>
      </c>
      <c r="R19" s="2"/>
    </row>
    <row r="20" spans="1:18">
      <c r="A20" s="4"/>
      <c r="B20" s="13">
        <v>2</v>
      </c>
      <c r="C20" s="14">
        <f>C7</f>
        <v>0</v>
      </c>
      <c r="D20" s="14">
        <f t="shared" ref="D20:D28" si="3">C20*$D$3</f>
        <v>0</v>
      </c>
      <c r="E20" s="14"/>
      <c r="F20" s="14"/>
      <c r="G20" s="15"/>
      <c r="H20" s="15"/>
      <c r="I20" s="6"/>
      <c r="J20" s="8"/>
      <c r="K20" s="8"/>
      <c r="L20" s="8"/>
    </row>
    <row r="21" spans="1:18">
      <c r="A21" s="4"/>
      <c r="B21" s="13">
        <v>3</v>
      </c>
      <c r="C21" s="14">
        <f t="shared" ref="C21:C27" si="4">C8</f>
        <v>0</v>
      </c>
      <c r="D21" s="14">
        <f t="shared" si="3"/>
        <v>0</v>
      </c>
      <c r="E21" s="42"/>
      <c r="F21" s="14"/>
      <c r="G21" s="15"/>
      <c r="H21" s="15"/>
      <c r="I21" s="7"/>
      <c r="J21" s="8"/>
      <c r="K21" s="8"/>
      <c r="L21" s="8"/>
    </row>
    <row r="22" spans="1:18">
      <c r="A22" s="4"/>
      <c r="B22" s="13">
        <v>4</v>
      </c>
      <c r="C22" s="14">
        <f t="shared" si="4"/>
        <v>0</v>
      </c>
      <c r="D22" s="14">
        <f t="shared" si="3"/>
        <v>0</v>
      </c>
      <c r="E22" s="16"/>
      <c r="F22" s="14"/>
      <c r="G22" s="15"/>
      <c r="H22" s="15"/>
      <c r="I22" s="6"/>
      <c r="J22" s="8"/>
      <c r="K22" s="8"/>
      <c r="L22" s="8"/>
    </row>
    <row r="23" spans="1:18">
      <c r="A23" s="4"/>
      <c r="B23" s="13">
        <v>5</v>
      </c>
      <c r="C23" s="14">
        <f t="shared" si="4"/>
        <v>0</v>
      </c>
      <c r="D23" s="14">
        <f t="shared" si="3"/>
        <v>0</v>
      </c>
      <c r="E23" s="42"/>
      <c r="F23" s="14"/>
      <c r="G23" s="15"/>
      <c r="H23" s="15"/>
      <c r="I23" s="7"/>
      <c r="J23" s="8"/>
      <c r="K23" s="8" t="s">
        <v>14</v>
      </c>
      <c r="L23" s="8" t="e">
        <f>F29/#REF!</f>
        <v>#REF!</v>
      </c>
    </row>
    <row r="24" spans="1:18">
      <c r="A24" s="4"/>
      <c r="B24" s="13">
        <v>6</v>
      </c>
      <c r="C24" s="14">
        <f t="shared" si="4"/>
        <v>0</v>
      </c>
      <c r="D24" s="14">
        <f t="shared" si="3"/>
        <v>0</v>
      </c>
      <c r="E24" s="16"/>
      <c r="F24" s="14"/>
      <c r="G24" s="15"/>
      <c r="H24" s="15"/>
      <c r="I24" s="54"/>
      <c r="J24" s="8"/>
    </row>
    <row r="25" spans="1:18">
      <c r="A25" s="4"/>
      <c r="B25" s="13">
        <v>7</v>
      </c>
      <c r="C25" s="14">
        <f t="shared" si="4"/>
        <v>0</v>
      </c>
      <c r="D25" s="14">
        <f t="shared" si="3"/>
        <v>0</v>
      </c>
      <c r="E25" s="14"/>
      <c r="F25" s="14"/>
      <c r="G25" s="15"/>
      <c r="H25" s="14"/>
      <c r="I25" s="99"/>
      <c r="J25" s="8"/>
    </row>
    <row r="26" spans="1:18">
      <c r="A26" s="4"/>
      <c r="B26" s="13">
        <v>8</v>
      </c>
      <c r="C26" s="14">
        <f t="shared" si="4"/>
        <v>0</v>
      </c>
      <c r="D26" s="14">
        <f t="shared" si="3"/>
        <v>0</v>
      </c>
      <c r="E26" s="14"/>
      <c r="F26" s="14"/>
      <c r="G26" s="15"/>
      <c r="H26" s="14"/>
      <c r="I26" s="100"/>
      <c r="J26" s="8"/>
    </row>
    <row r="27" spans="1:18">
      <c r="A27" s="4"/>
      <c r="B27" s="13">
        <v>9</v>
      </c>
      <c r="C27" s="14">
        <f t="shared" si="4"/>
        <v>0</v>
      </c>
      <c r="D27" s="14">
        <f t="shared" si="3"/>
        <v>0</v>
      </c>
      <c r="E27" s="14"/>
      <c r="F27" s="14"/>
      <c r="G27" s="15"/>
      <c r="H27" s="14"/>
      <c r="I27" s="101"/>
      <c r="J27" s="8"/>
    </row>
    <row r="28" spans="1:18">
      <c r="B28" s="13" t="s">
        <v>69</v>
      </c>
      <c r="C28" s="14" t="e">
        <f>'largeur_eff_semelle (4)'!O5-données!I19</f>
        <v>#DIV/0!</v>
      </c>
      <c r="D28" s="14" t="e">
        <f t="shared" si="3"/>
        <v>#DIV/0!</v>
      </c>
      <c r="E28" s="14"/>
      <c r="F28" s="14"/>
      <c r="G28" s="15"/>
      <c r="H28" s="15"/>
      <c r="I28" s="57"/>
      <c r="J28" s="8"/>
    </row>
    <row r="29" spans="1:18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>
      <c r="B30" s="18"/>
      <c r="C30" s="17"/>
      <c r="D30" s="17"/>
      <c r="E30" s="17"/>
      <c r="F30" s="17"/>
      <c r="G30" s="17"/>
      <c r="H30" s="17"/>
      <c r="I30" s="108"/>
      <c r="J30" s="8"/>
    </row>
    <row r="31" spans="1:18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7">
      <c r="B32" s="2" t="s">
        <v>91</v>
      </c>
      <c r="C32" s="2"/>
      <c r="D32" s="2" t="s">
        <v>22</v>
      </c>
      <c r="E32" s="2" t="s">
        <v>23</v>
      </c>
      <c r="F32" s="2" t="s">
        <v>24</v>
      </c>
      <c r="G32" s="2" t="s">
        <v>25</v>
      </c>
      <c r="H32" s="2" t="s">
        <v>87</v>
      </c>
      <c r="I32" s="2" t="s">
        <v>26</v>
      </c>
      <c r="J32" s="8"/>
      <c r="K32" s="8"/>
      <c r="L32" s="8"/>
    </row>
    <row r="33" spans="2:12">
      <c r="B33" s="7">
        <f>2*C3+B3</f>
        <v>0</v>
      </c>
      <c r="C33" s="7"/>
      <c r="D33" s="7">
        <f>data!J6</f>
        <v>0</v>
      </c>
      <c r="E33" s="7">
        <f>données!M3</f>
        <v>0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58" t="e">
        <f>IF(G33&gt;2,H33,(H33-(H33-1)*(2*F33/E33-(F33/E33)^2)))</f>
        <v>#DIV/0!</v>
      </c>
      <c r="J33" s="8"/>
      <c r="K33" s="8"/>
      <c r="L33" s="8"/>
    </row>
    <row r="34" spans="2:1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7">
      <c r="B35" s="2" t="s">
        <v>45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7">
      <c r="B38" s="2" t="s">
        <v>17</v>
      </c>
      <c r="C38" s="2" t="s">
        <v>9</v>
      </c>
      <c r="D38" s="2" t="s">
        <v>88</v>
      </c>
      <c r="E38" s="2" t="s">
        <v>89</v>
      </c>
    </row>
    <row r="39" spans="2:12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7">
      <c r="B41" s="7" t="s">
        <v>10</v>
      </c>
      <c r="C41" s="13" t="s">
        <v>51</v>
      </c>
      <c r="E41" s="2" t="s">
        <v>109</v>
      </c>
    </row>
    <row r="42" spans="2:12">
      <c r="B42" s="59" t="e">
        <f>E39</f>
        <v>#DIV/0!</v>
      </c>
      <c r="C42" s="14" t="e">
        <f>B42*données!E3*B39/'largeur_eff_semelle (4)'!K5/'largeur_eff_semelle (4)'!J5</f>
        <v>#DIV/0!</v>
      </c>
      <c r="E42" t="e">
        <f>B39/'largeur_eff_semelle (4)'!K5/'largeur_eff_semelle (4)'!J5</f>
        <v>#DIV/0!</v>
      </c>
      <c r="G42" s="65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topLeftCell="F2" zoomScale="150" zoomScaleNormal="150" zoomScalePageLayoutView="150" workbookViewId="0">
      <selection activeCell="H48" sqref="H48:O62"/>
    </sheetView>
  </sheetViews>
  <sheetFormatPr baseColWidth="10" defaultRowHeight="14" x14ac:dyDescent="0"/>
  <cols>
    <col min="2" max="2" width="5.5" bestFit="1" customWidth="1"/>
    <col min="3" max="3" width="4.5" bestFit="1" customWidth="1"/>
    <col min="4" max="4" width="11.33203125" bestFit="1" customWidth="1"/>
    <col min="5" max="5" width="10.33203125" bestFit="1" customWidth="1"/>
    <col min="6" max="6" width="4.5" bestFit="1" customWidth="1"/>
    <col min="7" max="7" width="6.83203125" customWidth="1"/>
    <col min="8" max="8" width="4.5" customWidth="1"/>
    <col min="9" max="9" width="5.5" bestFit="1" customWidth="1"/>
    <col min="10" max="10" width="7.1640625" customWidth="1"/>
    <col min="11" max="11" width="5.5" customWidth="1"/>
    <col min="12" max="12" width="7.6640625" customWidth="1"/>
    <col min="13" max="13" width="5.5" bestFit="1" customWidth="1"/>
    <col min="14" max="14" width="7.83203125" bestFit="1" customWidth="1"/>
    <col min="15" max="15" width="8.5" bestFit="1" customWidth="1"/>
  </cols>
  <sheetData>
    <row r="2" spans="2:15">
      <c r="B2" s="8" t="s">
        <v>106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7">
      <c r="B4" s="2" t="s">
        <v>18</v>
      </c>
      <c r="C4" s="2" t="s">
        <v>0</v>
      </c>
      <c r="D4" s="2" t="s">
        <v>17</v>
      </c>
      <c r="E4" s="2" t="s">
        <v>2</v>
      </c>
      <c r="F4" s="2" t="s">
        <v>1</v>
      </c>
      <c r="G4" s="41" t="s">
        <v>67</v>
      </c>
      <c r="H4" s="38" t="s">
        <v>63</v>
      </c>
      <c r="I4" s="2" t="s">
        <v>19</v>
      </c>
      <c r="J4" s="39" t="s">
        <v>65</v>
      </c>
      <c r="K4" s="40" t="s">
        <v>66</v>
      </c>
      <c r="L4" s="2" t="s">
        <v>64</v>
      </c>
      <c r="M4" s="2" t="s">
        <v>3</v>
      </c>
      <c r="N4" s="10" t="s">
        <v>20</v>
      </c>
      <c r="O4" s="10" t="s">
        <v>107</v>
      </c>
    </row>
    <row r="5" spans="2:15">
      <c r="B5" s="7">
        <f>données!$C$8</f>
        <v>0</v>
      </c>
      <c r="C5" s="7">
        <f>données!$E$3</f>
        <v>0</v>
      </c>
      <c r="D5" s="36">
        <f>données!$G$3</f>
        <v>0</v>
      </c>
      <c r="E5" s="7">
        <f>données!H$3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'raidisseur (4)'!B42*D5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56" t="e">
        <f>N5/2</f>
        <v>#DIV/0!</v>
      </c>
    </row>
    <row r="6" spans="2:15">
      <c r="B6" s="8"/>
      <c r="C6" s="8"/>
      <c r="D6" s="3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>
      <c r="B7" s="8" t="s">
        <v>15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ht="17">
      <c r="B9" s="2" t="s">
        <v>18</v>
      </c>
      <c r="C9" s="2" t="s">
        <v>0</v>
      </c>
      <c r="D9" s="2" t="s">
        <v>17</v>
      </c>
      <c r="E9" s="2" t="s">
        <v>2</v>
      </c>
      <c r="F9" s="2" t="s">
        <v>1</v>
      </c>
      <c r="G9" s="41" t="s">
        <v>67</v>
      </c>
      <c r="H9" s="38" t="s">
        <v>63</v>
      </c>
      <c r="I9" s="2" t="s">
        <v>19</v>
      </c>
      <c r="J9" s="39" t="s">
        <v>65</v>
      </c>
      <c r="K9" s="40" t="s">
        <v>66</v>
      </c>
      <c r="L9" s="2" t="s">
        <v>64</v>
      </c>
      <c r="M9" s="2" t="s">
        <v>3</v>
      </c>
      <c r="N9" s="10" t="s">
        <v>20</v>
      </c>
      <c r="O9" s="10" t="s">
        <v>108</v>
      </c>
    </row>
    <row r="10" spans="2:15">
      <c r="B10" s="7">
        <f>données!$C$8-données!$C$20-données!$I$18</f>
        <v>0</v>
      </c>
      <c r="C10" s="7">
        <f>données!$E$3</f>
        <v>0</v>
      </c>
      <c r="D10" s="36">
        <f>données!$G$3</f>
        <v>0</v>
      </c>
      <c r="E10" s="7">
        <f>données!H$3</f>
        <v>0</v>
      </c>
      <c r="F10" s="7">
        <v>4</v>
      </c>
      <c r="G10" s="7">
        <v>1</v>
      </c>
      <c r="H10" s="7" t="e">
        <f>(235/D10)^0.5</f>
        <v>#DIV/0!</v>
      </c>
      <c r="I10" s="11" t="e">
        <f>B10/C10/28.4/H10/(F10)^0.5</f>
        <v>#DIV/0!</v>
      </c>
      <c r="J10" s="11" t="e">
        <f>MIN(D10,D10*(données!L$3-'résistance_section (3)'!H28)/'résistance_section (3)'!H28)</f>
        <v>#DIV/0!</v>
      </c>
      <c r="K10" s="11">
        <v>1</v>
      </c>
      <c r="L10" s="11" t="e">
        <f>I10*SQRT(J10/D10/K10)</f>
        <v>#DIV/0!</v>
      </c>
      <c r="M10" s="11" t="e">
        <f>IF(L10&gt;0.673,(L10-0.055*(3+G10))/L10^2+0.18*(I10-L10)/(I10-0.6),1)</f>
        <v>#DIV/0!</v>
      </c>
      <c r="N10" s="7" t="e">
        <f>M10*B10</f>
        <v>#DIV/0!</v>
      </c>
      <c r="O10" s="56" t="e">
        <f>MAX(N10/2,données!C21)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topLeftCell="A17" workbookViewId="0">
      <selection activeCell="H48" sqref="H48:O62"/>
    </sheetView>
  </sheetViews>
  <sheetFormatPr baseColWidth="10" defaultRowHeight="14" x14ac:dyDescent="0"/>
  <cols>
    <col min="2" max="2" width="11.5" bestFit="1" customWidth="1"/>
    <col min="3" max="3" width="7.6640625" bestFit="1" customWidth="1"/>
    <col min="4" max="4" width="8.33203125" bestFit="1" customWidth="1"/>
    <col min="5" max="5" width="11.1640625" customWidth="1"/>
    <col min="6" max="6" width="8.5" customWidth="1"/>
    <col min="7" max="7" width="10.33203125" bestFit="1" customWidth="1"/>
    <col min="8" max="8" width="7.5" bestFit="1" customWidth="1"/>
    <col min="11" max="11" width="14.83203125" bestFit="1" customWidth="1"/>
    <col min="12" max="12" width="17" customWidth="1"/>
    <col min="13" max="13" width="17" bestFit="1" customWidth="1"/>
    <col min="14" max="15" width="14.83203125" bestFit="1" customWidth="1"/>
    <col min="16" max="16" width="16.1640625" bestFit="1" customWidth="1"/>
    <col min="17" max="17" width="17" bestFit="1" customWidth="1"/>
    <col min="18" max="18" width="14.83203125" bestFit="1" customWidth="1"/>
  </cols>
  <sheetData>
    <row r="2" spans="1:18" ht="17">
      <c r="B2" s="2" t="s">
        <v>21</v>
      </c>
      <c r="C2" s="2" t="s">
        <v>18</v>
      </c>
      <c r="D2" s="2" t="s">
        <v>0</v>
      </c>
      <c r="E2" s="2" t="s">
        <v>2</v>
      </c>
      <c r="F2" s="8"/>
      <c r="G2" s="8"/>
      <c r="H2" s="8"/>
      <c r="I2" s="8"/>
    </row>
    <row r="3" spans="1:18">
      <c r="B3" s="7">
        <f>(données!C30+données!C31+données!C32+données!C33/2)*2</f>
        <v>0</v>
      </c>
      <c r="C3" s="7">
        <f>largeur_eff_semelle!B5</f>
        <v>0</v>
      </c>
      <c r="D3" s="2">
        <f>données!E3</f>
        <v>0</v>
      </c>
      <c r="E3" s="7">
        <f>données!H3</f>
        <v>0</v>
      </c>
      <c r="F3" s="8"/>
      <c r="G3" s="8"/>
      <c r="H3" s="8"/>
      <c r="I3" s="8"/>
    </row>
    <row r="4" spans="1:18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7">
      <c r="B5" s="13" t="s">
        <v>5</v>
      </c>
      <c r="C5" s="13" t="s">
        <v>39</v>
      </c>
      <c r="D5" s="13" t="s">
        <v>42</v>
      </c>
      <c r="E5" s="13" t="s">
        <v>40</v>
      </c>
      <c r="F5" s="13" t="s">
        <v>43</v>
      </c>
      <c r="G5" s="13" t="s">
        <v>41</v>
      </c>
      <c r="H5" s="13" t="s">
        <v>7</v>
      </c>
      <c r="I5" s="13" t="s">
        <v>44</v>
      </c>
      <c r="J5" s="8"/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13" t="s">
        <v>36</v>
      </c>
      <c r="R5" s="13"/>
    </row>
    <row r="6" spans="1:18" ht="17">
      <c r="A6" s="4"/>
      <c r="B6" s="13" t="s">
        <v>68</v>
      </c>
      <c r="C6" s="14">
        <f>15*D3-données!I19</f>
        <v>0</v>
      </c>
      <c r="D6" s="14">
        <f>C6*$D$3</f>
        <v>0</v>
      </c>
      <c r="E6" s="14">
        <v>0</v>
      </c>
      <c r="F6" s="14">
        <f>D6*E6</f>
        <v>0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37</v>
      </c>
      <c r="L6" s="2"/>
      <c r="M6" s="2" t="s">
        <v>38</v>
      </c>
      <c r="N6" s="2"/>
      <c r="O6" s="2" t="s">
        <v>82</v>
      </c>
      <c r="P6" s="2"/>
      <c r="Q6" s="2" t="s">
        <v>83</v>
      </c>
      <c r="R6" s="2"/>
    </row>
    <row r="7" spans="1:18">
      <c r="A7" s="4"/>
      <c r="B7" s="13">
        <v>2</v>
      </c>
      <c r="C7" s="14">
        <f>données!C33</f>
        <v>0</v>
      </c>
      <c r="D7" s="14">
        <f t="shared" ref="D7:D15" si="0">C7*$D$3</f>
        <v>0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>
      <c r="A8" s="4"/>
      <c r="B8" s="13">
        <v>3</v>
      </c>
      <c r="C8" s="14">
        <f>données!C32</f>
        <v>0</v>
      </c>
      <c r="D8" s="14">
        <f t="shared" si="0"/>
        <v>0</v>
      </c>
      <c r="E8" s="42">
        <f>données!N3/2</f>
        <v>0</v>
      </c>
      <c r="F8" s="14">
        <f t="shared" si="1"/>
        <v>0</v>
      </c>
      <c r="G8" s="15" t="e">
        <f t="shared" si="2"/>
        <v>#DIV/0!</v>
      </c>
      <c r="H8" s="15">
        <f>données!M32</f>
        <v>0</v>
      </c>
      <c r="I8" s="7" t="e">
        <f>D8*H8^2/12+D8*G8^2</f>
        <v>#DIV/0!</v>
      </c>
      <c r="J8" s="8"/>
      <c r="K8" s="8"/>
      <c r="L8" s="8"/>
    </row>
    <row r="9" spans="1:18">
      <c r="A9" s="4"/>
      <c r="B9" s="13">
        <v>4</v>
      </c>
      <c r="C9" s="14">
        <f>données!C31</f>
        <v>0</v>
      </c>
      <c r="D9" s="14">
        <f t="shared" si="0"/>
        <v>0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>
      <c r="A10" s="4"/>
      <c r="B10" s="13">
        <v>5</v>
      </c>
      <c r="C10" s="14">
        <f>données!C30</f>
        <v>0</v>
      </c>
      <c r="D10" s="14">
        <f t="shared" si="0"/>
        <v>0</v>
      </c>
      <c r="E10" s="42">
        <f>données!N3</f>
        <v>0</v>
      </c>
      <c r="F10" s="14">
        <f t="shared" si="1"/>
        <v>0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14</v>
      </c>
      <c r="L10" s="8" t="e">
        <f>F16/#REF!</f>
        <v>#DIV/0!</v>
      </c>
    </row>
    <row r="11" spans="1:18">
      <c r="A11" s="4"/>
      <c r="B11" s="13">
        <v>6</v>
      </c>
      <c r="C11" s="14">
        <f>C10</f>
        <v>0</v>
      </c>
      <c r="D11" s="14">
        <f t="shared" si="0"/>
        <v>0</v>
      </c>
      <c r="E11" s="16">
        <f>E10</f>
        <v>0</v>
      </c>
      <c r="F11" s="14">
        <f t="shared" si="1"/>
        <v>0</v>
      </c>
      <c r="G11" s="15" t="e">
        <f t="shared" si="2"/>
        <v>#DIV/0!</v>
      </c>
      <c r="H11" s="15">
        <f>H10</f>
        <v>0</v>
      </c>
      <c r="I11" s="54" t="e">
        <f>I10</f>
        <v>#DIV/0!</v>
      </c>
      <c r="J11" s="8"/>
    </row>
    <row r="12" spans="1:18">
      <c r="A12" s="4"/>
      <c r="B12" s="13">
        <v>7</v>
      </c>
      <c r="C12" s="14">
        <f>C9</f>
        <v>0</v>
      </c>
      <c r="D12" s="14">
        <f t="shared" si="0"/>
        <v>0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99" t="e">
        <f>I9</f>
        <v>#DIV/0!</v>
      </c>
      <c r="J12" s="8"/>
    </row>
    <row r="13" spans="1:18">
      <c r="A13" s="4"/>
      <c r="B13" s="13">
        <v>8</v>
      </c>
      <c r="C13" s="14">
        <f>C8</f>
        <v>0</v>
      </c>
      <c r="D13" s="14">
        <f t="shared" si="0"/>
        <v>0</v>
      </c>
      <c r="E13" s="14">
        <f>E8</f>
        <v>0</v>
      </c>
      <c r="F13" s="14">
        <f t="shared" si="1"/>
        <v>0</v>
      </c>
      <c r="G13" s="15" t="e">
        <f t="shared" si="2"/>
        <v>#DIV/0!</v>
      </c>
      <c r="H13" s="14">
        <f>H8</f>
        <v>0</v>
      </c>
      <c r="I13" s="100" t="e">
        <f>I8</f>
        <v>#DIV/0!</v>
      </c>
      <c r="J13" s="8"/>
    </row>
    <row r="14" spans="1:18">
      <c r="A14" s="4"/>
      <c r="B14" s="13">
        <v>9</v>
      </c>
      <c r="C14" s="14">
        <f>C7</f>
        <v>0</v>
      </c>
      <c r="D14" s="14">
        <f t="shared" si="0"/>
        <v>0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01" t="e">
        <f>I7</f>
        <v>#DIV/0!</v>
      </c>
      <c r="J14" s="8"/>
    </row>
    <row r="15" spans="1:18">
      <c r="B15" s="13" t="s">
        <v>69</v>
      </c>
      <c r="C15" s="14">
        <f>15*D3-données!I19</f>
        <v>0</v>
      </c>
      <c r="D15" s="14">
        <f t="shared" si="0"/>
        <v>0</v>
      </c>
      <c r="E15" s="14">
        <v>0</v>
      </c>
      <c r="F15" s="14">
        <f t="shared" si="1"/>
        <v>0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>
      <c r="B16" s="25" t="s">
        <v>6</v>
      </c>
      <c r="C16" s="16"/>
      <c r="D16" s="26">
        <f>SUM(D6:D15)</f>
        <v>0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>
      <c r="B17" s="18"/>
      <c r="C17" s="17"/>
      <c r="D17" s="17"/>
      <c r="E17" s="17"/>
      <c r="F17" s="17"/>
      <c r="G17" s="17"/>
      <c r="H17" s="17"/>
      <c r="I17" s="108"/>
      <c r="J17" s="8"/>
    </row>
    <row r="18" spans="1:18" ht="17">
      <c r="B18" s="13" t="s">
        <v>5</v>
      </c>
      <c r="C18" s="13" t="s">
        <v>39</v>
      </c>
      <c r="D18" s="13" t="s">
        <v>42</v>
      </c>
      <c r="E18" s="13"/>
      <c r="F18" s="13"/>
      <c r="G18" s="13"/>
      <c r="H18" s="13"/>
      <c r="I18" s="13"/>
      <c r="J18" s="8"/>
      <c r="K18" s="13" t="s">
        <v>30</v>
      </c>
      <c r="L18" s="13" t="s">
        <v>31</v>
      </c>
      <c r="M18" s="13" t="s">
        <v>32</v>
      </c>
      <c r="N18" s="13" t="s">
        <v>33</v>
      </c>
      <c r="O18" s="13" t="s">
        <v>34</v>
      </c>
      <c r="P18" s="13" t="s">
        <v>35</v>
      </c>
      <c r="Q18" s="13" t="s">
        <v>36</v>
      </c>
      <c r="R18" s="13"/>
    </row>
    <row r="19" spans="1:18" ht="17">
      <c r="A19" s="4"/>
      <c r="B19" s="13" t="s">
        <v>68</v>
      </c>
      <c r="C19" s="14" t="e">
        <f>'largeur_eff_semelle bis (4)'!O5-données!I19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37</v>
      </c>
      <c r="L19" s="2"/>
      <c r="M19" s="2" t="s">
        <v>38</v>
      </c>
      <c r="N19" s="2"/>
      <c r="O19" s="2" t="s">
        <v>82</v>
      </c>
      <c r="P19" s="2"/>
      <c r="Q19" s="2" t="s">
        <v>83</v>
      </c>
      <c r="R19" s="2"/>
    </row>
    <row r="20" spans="1:18">
      <c r="A20" s="4"/>
      <c r="B20" s="13">
        <v>2</v>
      </c>
      <c r="C20" s="14">
        <f>C7</f>
        <v>0</v>
      </c>
      <c r="D20" s="14">
        <f t="shared" ref="D20:D28" si="3">C20*$D$3</f>
        <v>0</v>
      </c>
      <c r="E20" s="14"/>
      <c r="F20" s="14"/>
      <c r="G20" s="15"/>
      <c r="H20" s="15"/>
      <c r="I20" s="6"/>
      <c r="J20" s="8"/>
      <c r="K20" s="8"/>
      <c r="L20" s="8"/>
    </row>
    <row r="21" spans="1:18">
      <c r="A21" s="4"/>
      <c r="B21" s="13">
        <v>3</v>
      </c>
      <c r="C21" s="14">
        <f t="shared" ref="C21:C27" si="4">C8</f>
        <v>0</v>
      </c>
      <c r="D21" s="14">
        <f t="shared" si="3"/>
        <v>0</v>
      </c>
      <c r="E21" s="42"/>
      <c r="F21" s="14"/>
      <c r="G21" s="15"/>
      <c r="H21" s="15"/>
      <c r="I21" s="7"/>
      <c r="J21" s="8"/>
      <c r="K21" s="8"/>
      <c r="L21" s="8"/>
    </row>
    <row r="22" spans="1:18">
      <c r="A22" s="4"/>
      <c r="B22" s="13">
        <v>4</v>
      </c>
      <c r="C22" s="14">
        <f t="shared" si="4"/>
        <v>0</v>
      </c>
      <c r="D22" s="14">
        <f t="shared" si="3"/>
        <v>0</v>
      </c>
      <c r="E22" s="16"/>
      <c r="F22" s="14"/>
      <c r="G22" s="15"/>
      <c r="H22" s="15"/>
      <c r="I22" s="6"/>
      <c r="J22" s="8"/>
      <c r="K22" s="8"/>
      <c r="L22" s="8"/>
    </row>
    <row r="23" spans="1:18">
      <c r="A23" s="4"/>
      <c r="B23" s="13">
        <v>5</v>
      </c>
      <c r="C23" s="14">
        <f t="shared" si="4"/>
        <v>0</v>
      </c>
      <c r="D23" s="14">
        <f t="shared" si="3"/>
        <v>0</v>
      </c>
      <c r="E23" s="42"/>
      <c r="F23" s="14"/>
      <c r="G23" s="15"/>
      <c r="H23" s="15"/>
      <c r="I23" s="7"/>
      <c r="J23" s="8"/>
      <c r="K23" s="8" t="s">
        <v>14</v>
      </c>
      <c r="L23" s="8" t="e">
        <f>F29/#REF!</f>
        <v>#REF!</v>
      </c>
    </row>
    <row r="24" spans="1:18">
      <c r="A24" s="4"/>
      <c r="B24" s="13">
        <v>6</v>
      </c>
      <c r="C24" s="14">
        <f t="shared" si="4"/>
        <v>0</v>
      </c>
      <c r="D24" s="14">
        <f t="shared" si="3"/>
        <v>0</v>
      </c>
      <c r="E24" s="16"/>
      <c r="F24" s="14"/>
      <c r="G24" s="15"/>
      <c r="H24" s="15"/>
      <c r="I24" s="54"/>
      <c r="J24" s="8"/>
    </row>
    <row r="25" spans="1:18">
      <c r="A25" s="4"/>
      <c r="B25" s="13">
        <v>7</v>
      </c>
      <c r="C25" s="14">
        <f t="shared" si="4"/>
        <v>0</v>
      </c>
      <c r="D25" s="14">
        <f t="shared" si="3"/>
        <v>0</v>
      </c>
      <c r="E25" s="14"/>
      <c r="F25" s="14"/>
      <c r="G25" s="15"/>
      <c r="H25" s="14"/>
      <c r="I25" s="99"/>
      <c r="J25" s="8"/>
    </row>
    <row r="26" spans="1:18">
      <c r="A26" s="4"/>
      <c r="B26" s="13">
        <v>8</v>
      </c>
      <c r="C26" s="14">
        <f t="shared" si="4"/>
        <v>0</v>
      </c>
      <c r="D26" s="14">
        <f t="shared" si="3"/>
        <v>0</v>
      </c>
      <c r="E26" s="14"/>
      <c r="F26" s="14"/>
      <c r="G26" s="15"/>
      <c r="H26" s="14"/>
      <c r="I26" s="100"/>
      <c r="J26" s="8"/>
    </row>
    <row r="27" spans="1:18">
      <c r="A27" s="4"/>
      <c r="B27" s="13">
        <v>9</v>
      </c>
      <c r="C27" s="14">
        <f t="shared" si="4"/>
        <v>0</v>
      </c>
      <c r="D27" s="14">
        <f t="shared" si="3"/>
        <v>0</v>
      </c>
      <c r="E27" s="14"/>
      <c r="F27" s="14"/>
      <c r="G27" s="15"/>
      <c r="H27" s="14"/>
      <c r="I27" s="101"/>
      <c r="J27" s="8"/>
    </row>
    <row r="28" spans="1:18">
      <c r="B28" s="13" t="s">
        <v>69</v>
      </c>
      <c r="C28" s="14" t="e">
        <f>'largeur_eff_semelle bis (4)'!O5-données!I19</f>
        <v>#DIV/0!</v>
      </c>
      <c r="D28" s="14" t="e">
        <f t="shared" si="3"/>
        <v>#DIV/0!</v>
      </c>
      <c r="E28" s="14"/>
      <c r="F28" s="14"/>
      <c r="G28" s="15"/>
      <c r="H28" s="15"/>
      <c r="I28" s="57"/>
      <c r="J28" s="8"/>
    </row>
    <row r="29" spans="1:18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>
      <c r="B30" s="18"/>
      <c r="C30" s="17"/>
      <c r="D30" s="17"/>
      <c r="E30" s="17"/>
      <c r="F30" s="17"/>
      <c r="G30" s="17"/>
      <c r="H30" s="17"/>
      <c r="I30" s="108"/>
      <c r="J30" s="8"/>
    </row>
    <row r="31" spans="1:18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7">
      <c r="B32" s="2" t="s">
        <v>91</v>
      </c>
      <c r="C32" s="2"/>
      <c r="D32" s="2" t="s">
        <v>22</v>
      </c>
      <c r="E32" s="2" t="s">
        <v>23</v>
      </c>
      <c r="F32" s="2" t="s">
        <v>24</v>
      </c>
      <c r="G32" s="2" t="s">
        <v>25</v>
      </c>
      <c r="H32" s="2" t="s">
        <v>87</v>
      </c>
      <c r="I32" s="2" t="s">
        <v>26</v>
      </c>
      <c r="J32" s="8"/>
      <c r="K32" s="8"/>
      <c r="L32" s="8"/>
    </row>
    <row r="33" spans="2:12">
      <c r="B33" s="7">
        <f>2*C3+B3</f>
        <v>0</v>
      </c>
      <c r="C33" s="7"/>
      <c r="D33" s="7">
        <f>data!J6</f>
        <v>0</v>
      </c>
      <c r="E33" s="7">
        <f>données!M3</f>
        <v>0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58" t="e">
        <f>IF(G33&gt;2,H33,(H33-(H33-1)*(2*F33/E33-(F33/E33)^2)))</f>
        <v>#DIV/0!</v>
      </c>
      <c r="J33" s="8"/>
      <c r="K33" s="8"/>
      <c r="L33" s="8"/>
    </row>
    <row r="34" spans="2:1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7">
      <c r="B35" s="2" t="s">
        <v>45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7">
      <c r="B38" s="2" t="s">
        <v>17</v>
      </c>
      <c r="C38" s="2" t="s">
        <v>9</v>
      </c>
      <c r="D38" s="2" t="s">
        <v>88</v>
      </c>
      <c r="E38" s="2" t="s">
        <v>89</v>
      </c>
    </row>
    <row r="39" spans="2:12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7">
      <c r="B41" s="7" t="s">
        <v>10</v>
      </c>
      <c r="C41" s="13" t="s">
        <v>51</v>
      </c>
      <c r="E41" s="2" t="s">
        <v>109</v>
      </c>
    </row>
    <row r="42" spans="2:12">
      <c r="B42" s="59" t="e">
        <f>E39</f>
        <v>#DIV/0!</v>
      </c>
      <c r="C42" s="14" t="e">
        <f>B42*données!E3*B39/'largeur_eff_semelle bis (4)'!K5/'largeur_eff_semelle (4)'!J5</f>
        <v>#DIV/0!</v>
      </c>
      <c r="E42" s="65" t="e">
        <f>B39/'largeur_eff_semelle (4)'!K5/'largeur_eff_semelle (4)'!J5</f>
        <v>#DIV/0!</v>
      </c>
      <c r="G42" s="65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topLeftCell="A2" workbookViewId="0">
      <selection activeCell="H48" sqref="H48:O62"/>
    </sheetView>
  </sheetViews>
  <sheetFormatPr baseColWidth="10" defaultRowHeight="14" x14ac:dyDescent="0"/>
  <cols>
    <col min="6" max="6" width="11.5" customWidth="1"/>
  </cols>
  <sheetData>
    <row r="2" spans="2:9" ht="17">
      <c r="B2" s="2" t="s">
        <v>0</v>
      </c>
      <c r="C2" s="2" t="s">
        <v>2</v>
      </c>
      <c r="D2" s="2" t="s">
        <v>17</v>
      </c>
      <c r="E2" s="40" t="s">
        <v>66</v>
      </c>
      <c r="F2" s="39" t="s">
        <v>65</v>
      </c>
      <c r="G2" s="2" t="s">
        <v>70</v>
      </c>
      <c r="H2" s="2" t="s">
        <v>29</v>
      </c>
      <c r="I2" s="8"/>
    </row>
    <row r="3" spans="2:9">
      <c r="B3" s="2">
        <f>données!E3</f>
        <v>0</v>
      </c>
      <c r="C3" s="7">
        <f>données!H3</f>
        <v>0</v>
      </c>
      <c r="D3" s="43">
        <f>données!G3</f>
        <v>0</v>
      </c>
      <c r="E3" s="11">
        <v>1</v>
      </c>
      <c r="F3" s="11" t="e">
        <f>MIN(D3,D3*(données!L3-résistance_section!H28)/résistance_section!H28)</f>
        <v>#DIV/0!</v>
      </c>
      <c r="G3" s="7" t="e">
        <f>données!L3-résistance_section!H28</f>
        <v>#DIV/0!</v>
      </c>
      <c r="H3" s="2" t="e">
        <f>G3/SIN(données!B3)-données!C20</f>
        <v>#DIV/0!</v>
      </c>
      <c r="I3" s="8"/>
    </row>
    <row r="4" spans="2:9">
      <c r="B4" s="8"/>
      <c r="C4" s="8"/>
      <c r="D4" s="8"/>
      <c r="E4" s="8"/>
      <c r="F4" s="8"/>
      <c r="G4" s="8"/>
      <c r="H4" s="8"/>
    </row>
    <row r="5" spans="2:9" ht="17">
      <c r="B5" s="2" t="s">
        <v>27</v>
      </c>
      <c r="C5" s="2" t="s">
        <v>28</v>
      </c>
      <c r="D5" s="2" t="s">
        <v>92</v>
      </c>
      <c r="E5" s="2" t="s">
        <v>93</v>
      </c>
      <c r="F5" s="8" t="s">
        <v>94</v>
      </c>
      <c r="G5" s="8"/>
      <c r="H5" s="8"/>
    </row>
    <row r="6" spans="2:9">
      <c r="B6" s="57" t="e">
        <f>0.95*B3*(C3/F3/E3)^0.5</f>
        <v>#DIV/0!</v>
      </c>
      <c r="C6" s="57" t="e">
        <f>B6</f>
        <v>#DIV/0!</v>
      </c>
      <c r="D6" s="7" t="e">
        <f>1.5*C6</f>
        <v>#DIV/0!</v>
      </c>
      <c r="E6" s="9" t="e">
        <f>C6+D6</f>
        <v>#DIV/0!</v>
      </c>
      <c r="F6" s="8"/>
      <c r="G6" s="60" t="s">
        <v>136</v>
      </c>
      <c r="H6" s="8"/>
    </row>
    <row r="7" spans="2:9">
      <c r="B7" s="8"/>
      <c r="C7" s="8"/>
      <c r="D7" s="8"/>
      <c r="E7" s="8"/>
      <c r="F7" s="8"/>
      <c r="G7" s="8"/>
      <c r="H7" s="8"/>
    </row>
    <row r="8" spans="2:9">
      <c r="B8" s="102" t="s">
        <v>8</v>
      </c>
      <c r="C8" s="60"/>
      <c r="D8" s="60"/>
      <c r="E8" s="60"/>
      <c r="F8" s="8"/>
      <c r="G8" s="8"/>
      <c r="H8" s="8"/>
    </row>
    <row r="9" spans="2:9">
      <c r="B9" s="8"/>
      <c r="C9" s="8"/>
      <c r="D9" s="8"/>
      <c r="E9" s="8"/>
      <c r="F9" s="8"/>
      <c r="G9" s="8"/>
      <c r="H9" s="8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opLeftCell="A22" zoomScale="150" zoomScaleNormal="150" zoomScalePageLayoutView="150" workbookViewId="0">
      <selection activeCell="H48" sqref="H48:O62"/>
    </sheetView>
  </sheetViews>
  <sheetFormatPr baseColWidth="10" defaultRowHeight="14" x14ac:dyDescent="0"/>
  <cols>
    <col min="2" max="2" width="11.5" bestFit="1" customWidth="1"/>
  </cols>
  <sheetData>
    <row r="2" spans="1:11" ht="17">
      <c r="B2" s="2" t="s">
        <v>0</v>
      </c>
      <c r="C2" s="2" t="s">
        <v>2</v>
      </c>
      <c r="D2" s="2" t="s">
        <v>17</v>
      </c>
      <c r="E2" s="8"/>
      <c r="F2" s="8"/>
      <c r="G2" s="8"/>
      <c r="H2" s="8"/>
      <c r="I2" s="8"/>
      <c r="J2" s="8"/>
      <c r="K2" s="8"/>
    </row>
    <row r="3" spans="1:11">
      <c r="B3" s="2">
        <f>données!E3</f>
        <v>0</v>
      </c>
      <c r="C3" s="7">
        <f>données!H3</f>
        <v>0</v>
      </c>
      <c r="D3" s="6">
        <f>données!G3</f>
        <v>0</v>
      </c>
      <c r="E3" s="8"/>
      <c r="F3" s="8"/>
      <c r="G3" s="8"/>
      <c r="H3" s="8"/>
      <c r="I3" s="8"/>
      <c r="J3" s="8"/>
      <c r="K3" s="8"/>
    </row>
    <row r="4" spans="1:11"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7">
      <c r="B5" s="63" t="s">
        <v>74</v>
      </c>
      <c r="C5" s="63" t="s">
        <v>73</v>
      </c>
      <c r="D5" s="63" t="s">
        <v>71</v>
      </c>
      <c r="E5" s="63" t="s">
        <v>72</v>
      </c>
      <c r="F5" s="63" t="s">
        <v>73</v>
      </c>
      <c r="G5" s="8" t="s">
        <v>90</v>
      </c>
      <c r="H5" s="8"/>
      <c r="I5" s="8"/>
      <c r="J5" s="8"/>
      <c r="K5" s="8"/>
    </row>
    <row r="6" spans="1:11">
      <c r="B6" s="64" t="e">
        <f>0.76*B3*(C3/D3)^0.5</f>
        <v>#DIV/0!</v>
      </c>
      <c r="C6" s="64" t="e">
        <f>B6</f>
        <v>#DIV/0!</v>
      </c>
      <c r="D6" s="64" t="e">
        <f>largeur_eff_ame!#REF!</f>
        <v>#REF!</v>
      </c>
      <c r="E6" s="63" t="e">
        <f>largeur_eff_ame!#REF!</f>
        <v>#REF!</v>
      </c>
      <c r="F6" s="63"/>
      <c r="G6" s="8"/>
      <c r="H6" s="8"/>
      <c r="I6" s="8"/>
      <c r="J6" s="8"/>
      <c r="K6" s="8"/>
    </row>
    <row r="7" spans="1:11"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>
      <c r="B8" s="20" t="s">
        <v>8</v>
      </c>
      <c r="C8" s="8"/>
      <c r="D8" s="8"/>
      <c r="E8" s="8"/>
      <c r="F8" s="8"/>
      <c r="G8" s="8"/>
      <c r="H8" s="8"/>
      <c r="I8" s="8"/>
      <c r="J8" s="8"/>
      <c r="K8" s="8"/>
    </row>
    <row r="9" spans="1:11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7">
      <c r="B10" s="13" t="s">
        <v>5</v>
      </c>
      <c r="C10" s="13" t="s">
        <v>39</v>
      </c>
      <c r="D10" s="13" t="s">
        <v>46</v>
      </c>
      <c r="E10" s="13" t="s">
        <v>42</v>
      </c>
      <c r="F10" s="13" t="s">
        <v>40</v>
      </c>
      <c r="G10" s="13" t="s">
        <v>43</v>
      </c>
      <c r="H10" s="13" t="s">
        <v>41</v>
      </c>
      <c r="I10" s="21" t="s">
        <v>7</v>
      </c>
      <c r="J10" s="13" t="s">
        <v>44</v>
      </c>
      <c r="K10" s="22" t="s">
        <v>11</v>
      </c>
    </row>
    <row r="11" spans="1:11">
      <c r="B11" s="13">
        <v>0</v>
      </c>
      <c r="C11" s="13">
        <f>données!Q4/2</f>
        <v>0</v>
      </c>
      <c r="D11" s="110" t="e">
        <f>'raidisseur (4)'!C$42</f>
        <v>#DIV/0!</v>
      </c>
      <c r="E11" s="105" t="e">
        <f>C11*D11</f>
        <v>#DIV/0!</v>
      </c>
      <c r="F11" s="14">
        <f>données!J30+données!R5</f>
        <v>0</v>
      </c>
      <c r="G11" s="14" t="e">
        <f>E11*F11</f>
        <v>#DIV/0!</v>
      </c>
      <c r="H11" s="7" t="e">
        <f t="shared" ref="H11:H27" si="0">$H$28-F11</f>
        <v>#DIV/0!</v>
      </c>
      <c r="I11" s="28">
        <f>données!M30</f>
        <v>0</v>
      </c>
      <c r="J11" s="7" t="e">
        <f t="shared" ref="J11" si="1">E11*I11^2/12+E11*H11^2</f>
        <v>#DIV/0!</v>
      </c>
      <c r="K11" s="27"/>
    </row>
    <row r="12" spans="1:11">
      <c r="A12" s="78">
        <f>C12*B$3</f>
        <v>0</v>
      </c>
      <c r="B12" s="13">
        <v>1</v>
      </c>
      <c r="C12" s="14">
        <f>données!C30-C11</f>
        <v>0</v>
      </c>
      <c r="D12" s="110" t="e">
        <f>'raidisseur (4)'!C$42</f>
        <v>#DIV/0!</v>
      </c>
      <c r="E12" s="105" t="e">
        <f t="shared" ref="E12:E16" si="2">C12*D12</f>
        <v>#DIV/0!</v>
      </c>
      <c r="F12" s="14">
        <f>données!J30</f>
        <v>0</v>
      </c>
      <c r="G12" s="14" t="e">
        <f>E12*F12</f>
        <v>#DIV/0!</v>
      </c>
      <c r="H12" s="7" t="e">
        <f t="shared" si="0"/>
        <v>#DIV/0!</v>
      </c>
      <c r="I12" s="28">
        <f>données!M30</f>
        <v>0</v>
      </c>
      <c r="J12" s="7" t="e">
        <f t="shared" ref="J12" si="3">E12*I12^2/12+E12*H12^2</f>
        <v>#DIV/0!</v>
      </c>
      <c r="K12" s="27"/>
    </row>
    <row r="13" spans="1:11">
      <c r="A13" s="78">
        <f t="shared" ref="A13:A16" si="4">C13*B$3</f>
        <v>0</v>
      </c>
      <c r="B13" s="13">
        <v>2</v>
      </c>
      <c r="C13" s="14">
        <f>données!C31</f>
        <v>0</v>
      </c>
      <c r="D13" s="110" t="e">
        <f>'raidisseur (4)'!C$42</f>
        <v>#DIV/0!</v>
      </c>
      <c r="E13" s="105" t="e">
        <f t="shared" si="2"/>
        <v>#DIV/0!</v>
      </c>
      <c r="F13" s="14" t="e">
        <f>données!J31</f>
        <v>#DIV/0!</v>
      </c>
      <c r="G13" s="14" t="e">
        <f t="shared" ref="G13:G27" si="5">E13*F13</f>
        <v>#DIV/0!</v>
      </c>
      <c r="H13" s="7" t="e">
        <f t="shared" si="0"/>
        <v>#DIV/0!</v>
      </c>
      <c r="I13" s="28">
        <f>données!M31</f>
        <v>0</v>
      </c>
      <c r="J13" s="6" t="e">
        <f>D13*(données!$P$3^3*((données!$I$17+SIN(données!$I$17)*COS(données!$I$17))/2-SIN(données!$I$17)^2/données!$I$17))+E13*H13^2</f>
        <v>#DIV/0!</v>
      </c>
      <c r="K13" s="8"/>
    </row>
    <row r="14" spans="1:11">
      <c r="A14" s="78">
        <f t="shared" si="4"/>
        <v>0</v>
      </c>
      <c r="B14" s="13">
        <v>3</v>
      </c>
      <c r="C14" s="14">
        <f>données!C32</f>
        <v>0</v>
      </c>
      <c r="D14" s="110" t="e">
        <f>'raidisseur (4)'!C$42</f>
        <v>#DIV/0!</v>
      </c>
      <c r="E14" s="105" t="e">
        <f t="shared" si="2"/>
        <v>#DIV/0!</v>
      </c>
      <c r="F14" s="14">
        <f>données!J32</f>
        <v>0</v>
      </c>
      <c r="G14" s="14" t="e">
        <f t="shared" si="5"/>
        <v>#DIV/0!</v>
      </c>
      <c r="H14" s="7" t="e">
        <f t="shared" si="0"/>
        <v>#DIV/0!</v>
      </c>
      <c r="I14" s="28">
        <f>données!M32</f>
        <v>0</v>
      </c>
      <c r="J14" s="7" t="e">
        <f t="shared" ref="J14" si="6">E14*I14^2/12+E14*H14^2</f>
        <v>#DIV/0!</v>
      </c>
      <c r="K14" s="8"/>
    </row>
    <row r="15" spans="1:11">
      <c r="A15" s="78">
        <f t="shared" si="4"/>
        <v>0</v>
      </c>
      <c r="B15" s="13">
        <v>4</v>
      </c>
      <c r="C15" s="14">
        <f>données!C33</f>
        <v>0</v>
      </c>
      <c r="D15" s="110" t="e">
        <f>'raidisseur (4)'!C$42</f>
        <v>#DIV/0!</v>
      </c>
      <c r="E15" s="105" t="e">
        <f t="shared" si="2"/>
        <v>#DIV/0!</v>
      </c>
      <c r="F15" s="14" t="e">
        <f>données!J33</f>
        <v>#DIV/0!</v>
      </c>
      <c r="G15" s="14" t="e">
        <f t="shared" si="5"/>
        <v>#DIV/0!</v>
      </c>
      <c r="H15" s="7" t="e">
        <f t="shared" si="0"/>
        <v>#DIV/0!</v>
      </c>
      <c r="I15" s="28">
        <f>données!M33</f>
        <v>0</v>
      </c>
      <c r="J15" s="6" t="e">
        <f>D15*(données!$P$3^3*((données!$I$17+SIN(données!$I$17)*COS(données!$I$17))/2-SIN(données!$I$17)^2/données!$I$17))+E15*H15^2</f>
        <v>#DIV/0!</v>
      </c>
      <c r="K15" s="8"/>
    </row>
    <row r="16" spans="1:11">
      <c r="A16" s="78" t="e">
        <f t="shared" si="4"/>
        <v>#DIV/0!</v>
      </c>
      <c r="B16" s="13">
        <v>51</v>
      </c>
      <c r="C16" s="14" t="e">
        <f>'largeur_eff_semelle (4)'!O5-données!I19</f>
        <v>#DIV/0!</v>
      </c>
      <c r="D16" s="110" t="e">
        <f>'raidisseur (4)'!C$42</f>
        <v>#DIV/0!</v>
      </c>
      <c r="E16" s="105" t="e">
        <f t="shared" si="2"/>
        <v>#DIV/0!</v>
      </c>
      <c r="F16" s="14">
        <f>données!J34</f>
        <v>0</v>
      </c>
      <c r="G16" s="14" t="e">
        <f t="shared" si="5"/>
        <v>#DIV/0!</v>
      </c>
      <c r="H16" s="7" t="e">
        <f t="shared" si="0"/>
        <v>#DIV/0!</v>
      </c>
      <c r="I16" s="28">
        <f>données!M34</f>
        <v>0</v>
      </c>
      <c r="J16" s="7" t="e">
        <f t="shared" ref="J16:J17" si="7">E16*I16^2/12+E16*H16^2</f>
        <v>#DIV/0!</v>
      </c>
      <c r="K16" s="8"/>
    </row>
    <row r="17" spans="1:11">
      <c r="A17" s="78"/>
      <c r="B17" s="13">
        <v>52</v>
      </c>
      <c r="C17" s="133" t="e">
        <f>('largeur_eff_semelle (4)'!O5-données!C21)</f>
        <v>#DIV/0!</v>
      </c>
      <c r="D17" s="23">
        <f>$B$3</f>
        <v>0</v>
      </c>
      <c r="E17" s="14" t="e">
        <f t="shared" ref="E17:E27" si="8">C17*D17</f>
        <v>#DIV/0!</v>
      </c>
      <c r="F17" s="14">
        <f>données!J34</f>
        <v>0</v>
      </c>
      <c r="G17" s="14" t="e">
        <f t="shared" si="5"/>
        <v>#DIV/0!</v>
      </c>
      <c r="H17" s="7" t="e">
        <f t="shared" si="0"/>
        <v>#DIV/0!</v>
      </c>
      <c r="I17" s="28">
        <f>données!M34</f>
        <v>0</v>
      </c>
      <c r="J17" s="7" t="e">
        <f t="shared" si="7"/>
        <v>#DIV/0!</v>
      </c>
      <c r="K17" s="8"/>
    </row>
    <row r="18" spans="1:11">
      <c r="A18" s="78"/>
      <c r="B18" s="13">
        <v>6</v>
      </c>
      <c r="C18" s="14">
        <f>données!C35</f>
        <v>0</v>
      </c>
      <c r="D18" s="23">
        <f t="shared" ref="D18" si="9">$B$3</f>
        <v>0</v>
      </c>
      <c r="E18" s="14">
        <f t="shared" si="8"/>
        <v>0</v>
      </c>
      <c r="F18" s="14" t="e">
        <f>données!J35</f>
        <v>#DIV/0!</v>
      </c>
      <c r="G18" s="14" t="e">
        <f t="shared" si="5"/>
        <v>#DIV/0!</v>
      </c>
      <c r="H18" s="7" t="e">
        <f t="shared" si="0"/>
        <v>#DIV/0!</v>
      </c>
      <c r="I18" s="28">
        <f>données!M35</f>
        <v>0</v>
      </c>
      <c r="J18" s="6" t="e">
        <f>D18*données!J$3^3*((données!B$3+SIN(données!B$3)*COS(données!B$3))/2-SIN(données!B$3)^2/données!B$3)+E18*H18^2</f>
        <v>#DIV/0!</v>
      </c>
      <c r="K18" s="8"/>
    </row>
    <row r="19" spans="1:11">
      <c r="A19" s="78"/>
      <c r="B19" s="13">
        <v>7</v>
      </c>
      <c r="C19" s="14">
        <f>données!C36</f>
        <v>0</v>
      </c>
      <c r="D19" s="103">
        <f>$B$3</f>
        <v>0</v>
      </c>
      <c r="E19" s="14">
        <f t="shared" si="8"/>
        <v>0</v>
      </c>
      <c r="F19" s="14">
        <f>données!J36</f>
        <v>0</v>
      </c>
      <c r="G19" s="14">
        <f t="shared" si="5"/>
        <v>0</v>
      </c>
      <c r="H19" s="7" t="e">
        <f t="shared" si="0"/>
        <v>#DIV/0!</v>
      </c>
      <c r="I19" s="28">
        <f>données!M36</f>
        <v>0</v>
      </c>
      <c r="J19" s="7" t="e">
        <f>E19*I19^2/12+E19*H19^2</f>
        <v>#DIV/0!</v>
      </c>
      <c r="K19" s="8"/>
    </row>
    <row r="20" spans="1:11">
      <c r="A20" s="78"/>
      <c r="B20" s="13" t="s">
        <v>117</v>
      </c>
      <c r="C20" s="14">
        <f>-données!$Q$3</f>
        <v>-14.125</v>
      </c>
      <c r="D20" s="81">
        <f t="shared" ref="D20" si="10">$B$3</f>
        <v>0</v>
      </c>
      <c r="E20" s="14">
        <f t="shared" si="8"/>
        <v>0</v>
      </c>
      <c r="F20" s="14">
        <f>résistance_section!$F$20</f>
        <v>-28.625</v>
      </c>
      <c r="G20" s="14">
        <f t="shared" si="5"/>
        <v>0</v>
      </c>
      <c r="H20" s="7" t="e">
        <f t="shared" si="0"/>
        <v>#DIV/0!</v>
      </c>
      <c r="I20" s="111">
        <f>-C20*SIN(données!$B$3)</f>
        <v>0</v>
      </c>
      <c r="J20" s="7" t="e">
        <f t="shared" ref="J20:J21" si="11">E20*I20^2/12+E20*H20^2</f>
        <v>#DIV/0!</v>
      </c>
      <c r="K20" s="8"/>
    </row>
    <row r="21" spans="1:11">
      <c r="A21" s="78"/>
      <c r="B21" s="13" t="s">
        <v>117</v>
      </c>
      <c r="C21" s="14">
        <f>données!$Q$3</f>
        <v>14.125</v>
      </c>
      <c r="D21" s="81">
        <f>$B$3*données!P4</f>
        <v>0</v>
      </c>
      <c r="E21" s="14">
        <f t="shared" si="8"/>
        <v>0</v>
      </c>
      <c r="F21" s="14">
        <f>résistance_section!$F$21</f>
        <v>-28.625</v>
      </c>
      <c r="G21" s="14">
        <f t="shared" si="5"/>
        <v>0</v>
      </c>
      <c r="H21" s="7" t="e">
        <f t="shared" si="0"/>
        <v>#DIV/0!</v>
      </c>
      <c r="I21" s="111">
        <f>C21*SIN(données!$B$3)</f>
        <v>0</v>
      </c>
      <c r="J21" s="7" t="e">
        <f t="shared" si="11"/>
        <v>#DIV/0!</v>
      </c>
      <c r="K21" s="8"/>
    </row>
    <row r="22" spans="1:11">
      <c r="A22" s="78"/>
      <c r="B22" s="13">
        <v>8</v>
      </c>
      <c r="C22" s="14">
        <f>données!C37</f>
        <v>0</v>
      </c>
      <c r="D22" s="23">
        <f>$B$3</f>
        <v>0</v>
      </c>
      <c r="E22" s="14">
        <f t="shared" si="8"/>
        <v>0</v>
      </c>
      <c r="F22" s="14" t="e">
        <f>données!J37</f>
        <v>#DIV/0!</v>
      </c>
      <c r="G22" s="14" t="e">
        <f t="shared" si="5"/>
        <v>#DIV/0!</v>
      </c>
      <c r="H22" s="7" t="e">
        <f t="shared" si="0"/>
        <v>#DIV/0!</v>
      </c>
      <c r="I22" s="28">
        <f>données!M37</f>
        <v>0</v>
      </c>
      <c r="J22" s="6" t="e">
        <f>D22*données!I$3^3*((données!B$3+SIN(données!B$3)*COS(données!B$3))/2-SIN(données!B$3)^2/données!B$3)+E22*H22^2</f>
        <v>#DIV/0!</v>
      </c>
      <c r="K22" s="8"/>
    </row>
    <row r="23" spans="1:11">
      <c r="A23" s="78"/>
      <c r="B23" s="13">
        <v>9</v>
      </c>
      <c r="C23" s="14">
        <f>données!C38</f>
        <v>0</v>
      </c>
      <c r="D23" s="23">
        <f>$B$3</f>
        <v>0</v>
      </c>
      <c r="E23" s="14">
        <f>C23*D23</f>
        <v>0</v>
      </c>
      <c r="F23" s="14">
        <f>données!J38</f>
        <v>0</v>
      </c>
      <c r="G23" s="14">
        <f t="shared" si="5"/>
        <v>0</v>
      </c>
      <c r="H23" s="7" t="e">
        <f t="shared" si="0"/>
        <v>#DIV/0!</v>
      </c>
      <c r="I23" s="28">
        <f>données!M38</f>
        <v>0</v>
      </c>
      <c r="J23" s="7" t="e">
        <f>E23*I23^2/12+E23*H23^2</f>
        <v>#DIV/0!</v>
      </c>
      <c r="K23" s="8"/>
    </row>
    <row r="24" spans="1:11">
      <c r="A24" s="5"/>
      <c r="B24" s="13">
        <v>11</v>
      </c>
      <c r="C24" s="14">
        <f>données!C39</f>
        <v>0</v>
      </c>
      <c r="D24" s="23">
        <f t="shared" ref="D24:D27" si="12">$B$3</f>
        <v>0</v>
      </c>
      <c r="E24" s="14">
        <f t="shared" si="8"/>
        <v>0</v>
      </c>
      <c r="F24" s="14">
        <f>données!J39</f>
        <v>0</v>
      </c>
      <c r="G24" s="14">
        <f t="shared" si="5"/>
        <v>0</v>
      </c>
      <c r="H24" s="7" t="e">
        <f t="shared" si="0"/>
        <v>#DIV/0!</v>
      </c>
      <c r="I24" s="28">
        <f>données!M39</f>
        <v>0</v>
      </c>
      <c r="J24" s="7" t="e">
        <f>E24*I24^2/12+E24*H24^2</f>
        <v>#DIV/0!</v>
      </c>
      <c r="K24" s="8"/>
    </row>
    <row r="25" spans="1:11">
      <c r="A25" s="5"/>
      <c r="B25" s="13">
        <v>13</v>
      </c>
      <c r="C25" s="14">
        <f>données!C40</f>
        <v>0</v>
      </c>
      <c r="D25" s="23">
        <f t="shared" si="12"/>
        <v>0</v>
      </c>
      <c r="E25" s="14">
        <f t="shared" si="8"/>
        <v>0</v>
      </c>
      <c r="F25" s="14">
        <f>données!J40</f>
        <v>0</v>
      </c>
      <c r="G25" s="14">
        <f t="shared" si="5"/>
        <v>0</v>
      </c>
      <c r="H25" s="7" t="e">
        <f t="shared" si="0"/>
        <v>#DIV/0!</v>
      </c>
      <c r="I25" s="28">
        <f>données!M40</f>
        <v>0</v>
      </c>
      <c r="J25" s="7" t="e">
        <f t="shared" ref="J25:J27" si="13">E25*I25^2/12+E25*H25^2</f>
        <v>#DIV/0!</v>
      </c>
      <c r="K25" s="8"/>
    </row>
    <row r="26" spans="1:11">
      <c r="B26" s="13">
        <v>15</v>
      </c>
      <c r="C26" s="14">
        <f>données!C41</f>
        <v>0</v>
      </c>
      <c r="D26" s="23">
        <f t="shared" si="12"/>
        <v>0</v>
      </c>
      <c r="E26" s="14">
        <f t="shared" si="8"/>
        <v>0</v>
      </c>
      <c r="F26" s="14">
        <f>données!J41</f>
        <v>0</v>
      </c>
      <c r="G26" s="14">
        <f t="shared" si="5"/>
        <v>0</v>
      </c>
      <c r="H26" s="7" t="e">
        <f t="shared" si="0"/>
        <v>#DIV/0!</v>
      </c>
      <c r="I26" s="28">
        <f>données!M41</f>
        <v>0</v>
      </c>
      <c r="J26" s="7" t="e">
        <f t="shared" si="13"/>
        <v>#DIV/0!</v>
      </c>
      <c r="K26" s="8"/>
    </row>
    <row r="27" spans="1:11">
      <c r="B27" s="13">
        <v>17</v>
      </c>
      <c r="C27" s="14">
        <f>données!C42</f>
        <v>0</v>
      </c>
      <c r="D27" s="23">
        <f t="shared" si="12"/>
        <v>0</v>
      </c>
      <c r="E27" s="14">
        <f t="shared" si="8"/>
        <v>0</v>
      </c>
      <c r="F27" s="14">
        <f>données!J42</f>
        <v>0</v>
      </c>
      <c r="G27" s="14">
        <f t="shared" si="5"/>
        <v>0</v>
      </c>
      <c r="H27" s="7" t="e">
        <f t="shared" si="0"/>
        <v>#DIV/0!</v>
      </c>
      <c r="I27" s="28">
        <f>données!M42</f>
        <v>0</v>
      </c>
      <c r="J27" s="7" t="e">
        <f t="shared" si="13"/>
        <v>#DIV/0!</v>
      </c>
      <c r="K27" s="8"/>
    </row>
    <row r="28" spans="1:11">
      <c r="B28" s="13" t="s">
        <v>6</v>
      </c>
      <c r="C28" s="8"/>
      <c r="D28" s="8"/>
      <c r="E28" s="24" t="e">
        <f>SUM(E11:E27)</f>
        <v>#DIV/0!</v>
      </c>
      <c r="F28" s="8"/>
      <c r="G28" s="24" t="e">
        <f>SUM(G11:G27)</f>
        <v>#DIV/0!</v>
      </c>
      <c r="H28" s="107" t="e">
        <f>G28/E28</f>
        <v>#DIV/0!</v>
      </c>
      <c r="I28" s="8"/>
      <c r="J28" s="12" t="e">
        <f>SUM(J11:J27)</f>
        <v>#DIV/0!</v>
      </c>
      <c r="K28" s="8" t="s">
        <v>75</v>
      </c>
    </row>
    <row r="29" spans="1:11">
      <c r="B29" s="8"/>
      <c r="C29" s="8"/>
      <c r="D29" s="8"/>
      <c r="E29" s="8"/>
      <c r="F29" s="8"/>
      <c r="G29" s="8"/>
      <c r="H29" s="9" t="e">
        <f>données!L3-H28</f>
        <v>#DIV/0!</v>
      </c>
      <c r="I29" s="8"/>
      <c r="J29" s="8" t="e">
        <f>J28*2</f>
        <v>#DIV/0!</v>
      </c>
      <c r="K29" s="8" t="s">
        <v>77</v>
      </c>
    </row>
    <row r="30" spans="1:11">
      <c r="B30" s="8" t="s">
        <v>50</v>
      </c>
      <c r="C30" s="8" t="e">
        <f>J28/MAX(H28,H29)</f>
        <v>#DIV/0!</v>
      </c>
      <c r="D30" s="8" t="s">
        <v>75</v>
      </c>
      <c r="E30" s="8"/>
      <c r="F30" s="8"/>
      <c r="G30" s="8"/>
      <c r="H30" s="8"/>
      <c r="I30" s="8"/>
      <c r="J30" s="8" t="e">
        <f>J29/données!K3</f>
        <v>#DIV/0!</v>
      </c>
      <c r="K30" s="8" t="s">
        <v>103</v>
      </c>
    </row>
    <row r="31" spans="1:11">
      <c r="B31" s="8" t="s">
        <v>50</v>
      </c>
      <c r="C31" s="8" t="e">
        <f>2*C30</f>
        <v>#DIV/0!</v>
      </c>
      <c r="D31" s="8" t="s">
        <v>77</v>
      </c>
      <c r="E31" s="8"/>
      <c r="F31" s="8"/>
      <c r="G31" s="8"/>
      <c r="H31" s="8"/>
      <c r="I31" s="8"/>
      <c r="J31" s="8"/>
      <c r="K31" s="8"/>
    </row>
    <row r="32" spans="1:11">
      <c r="B32" s="8" t="s">
        <v>50</v>
      </c>
      <c r="C32" s="8" t="e">
        <f>C31/données!K3</f>
        <v>#DIV/0!</v>
      </c>
      <c r="D32" s="8" t="s">
        <v>78</v>
      </c>
      <c r="E32" s="8"/>
      <c r="F32" s="8"/>
      <c r="G32" s="8"/>
      <c r="H32" s="8"/>
      <c r="I32" s="8"/>
      <c r="J32" s="8"/>
      <c r="K32" s="8"/>
    </row>
    <row r="33" spans="2:11"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2:11">
      <c r="B34" s="8" t="s">
        <v>12</v>
      </c>
      <c r="C34" s="8" t="s">
        <v>12</v>
      </c>
      <c r="D34" s="8"/>
      <c r="E34" s="8"/>
      <c r="F34" s="8"/>
      <c r="G34" s="8"/>
      <c r="H34" s="8"/>
      <c r="I34" s="8"/>
      <c r="J34" s="8"/>
      <c r="K34" s="8"/>
    </row>
    <row r="35" spans="2:11">
      <c r="B35" s="79" t="e">
        <f>D3*C32*1</f>
        <v>#DIV/0!</v>
      </c>
      <c r="C35" s="79" t="s">
        <v>79</v>
      </c>
      <c r="D35" s="80"/>
      <c r="E35" s="80" t="e">
        <f>B35*0.965</f>
        <v>#DIV/0!</v>
      </c>
      <c r="F35" s="82">
        <v>7843.1501932231167</v>
      </c>
      <c r="G35" s="8"/>
      <c r="H35" s="8"/>
      <c r="I35" s="8"/>
      <c r="J35" s="8"/>
      <c r="K35" s="8"/>
    </row>
    <row r="36" spans="2:11">
      <c r="B36" s="46" t="e">
        <f>B35/1000</f>
        <v>#DIV/0!</v>
      </c>
      <c r="C36" t="s">
        <v>80</v>
      </c>
      <c r="D36" t="e">
        <f>(21.73-B36)/21.73</f>
        <v>#DIV/0!</v>
      </c>
    </row>
    <row r="37" spans="2:11">
      <c r="B37" s="29"/>
    </row>
    <row r="38" spans="2:11">
      <c r="B38" s="29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zoomScale="150" zoomScaleNormal="150" zoomScalePageLayoutView="150" workbookViewId="0">
      <selection activeCell="H48" sqref="H48:O62"/>
    </sheetView>
  </sheetViews>
  <sheetFormatPr baseColWidth="10" defaultRowHeight="14" x14ac:dyDescent="0"/>
  <cols>
    <col min="3" max="3" width="17.5" customWidth="1"/>
    <col min="4" max="4" width="17.33203125" customWidth="1"/>
    <col min="5" max="5" width="19.1640625" customWidth="1"/>
  </cols>
  <sheetData>
    <row r="2" spans="1:5">
      <c r="A2" s="134"/>
      <c r="B2" s="30"/>
      <c r="C2" s="1" t="s">
        <v>161</v>
      </c>
      <c r="D2" s="1" t="s">
        <v>162</v>
      </c>
      <c r="E2" t="s">
        <v>185</v>
      </c>
    </row>
    <row r="3" spans="1:5" ht="17">
      <c r="A3" s="135" t="s">
        <v>163</v>
      </c>
      <c r="B3" s="136" t="s">
        <v>164</v>
      </c>
      <c r="C3" s="137" t="e">
        <f>'largeur_eff_semelle (2)'!$J5</f>
        <v>#DIV/0!</v>
      </c>
      <c r="D3" s="137" t="e">
        <f>'largeur_eff_semelle (3)'!$J5</f>
        <v>#DIV/0!</v>
      </c>
      <c r="E3" s="137" t="e">
        <f>'largeur_eff_semelle (4)'!$J5</f>
        <v>#DIV/0!</v>
      </c>
    </row>
    <row r="4" spans="1:5">
      <c r="A4" s="138"/>
      <c r="B4" s="139" t="s">
        <v>184</v>
      </c>
      <c r="C4" s="48" t="e">
        <f>'largeur_eff_semelle (2)'!$M5</f>
        <v>#DIV/0!</v>
      </c>
      <c r="D4" s="48" t="e">
        <f>'largeur_eff_semelle (3)'!$M5</f>
        <v>#DIV/0!</v>
      </c>
      <c r="E4" s="48" t="e">
        <f>'largeur_eff_semelle (4)'!$M5</f>
        <v>#DIV/0!</v>
      </c>
    </row>
    <row r="5" spans="1:5" ht="15">
      <c r="A5" s="141"/>
      <c r="B5" s="140" t="s">
        <v>165</v>
      </c>
      <c r="C5" s="3" t="e">
        <f>'largeur_eff_semelle (2)'!$O5</f>
        <v>#DIV/0!</v>
      </c>
      <c r="D5" s="3" t="e">
        <f>'largeur_eff_semelle (3)'!$O5</f>
        <v>#DIV/0!</v>
      </c>
      <c r="E5" s="3" t="e">
        <f>'largeur_eff_semelle (4)'!$O5</f>
        <v>#DIV/0!</v>
      </c>
    </row>
    <row r="6" spans="1:5" ht="16">
      <c r="A6" s="135" t="s">
        <v>166</v>
      </c>
      <c r="B6" s="147" t="s">
        <v>167</v>
      </c>
      <c r="C6" s="3" t="e">
        <f>'raidisseur (2)'!$B36</f>
        <v>#DIV/0!</v>
      </c>
      <c r="D6" s="3" t="e">
        <f>'raidisseur (3)'!$B36</f>
        <v>#DIV/0!</v>
      </c>
      <c r="E6" s="3" t="e">
        <f>'raidisseur (4)'!$B36</f>
        <v>#DIV/0!</v>
      </c>
    </row>
    <row r="7" spans="1:5" ht="16">
      <c r="A7" s="138"/>
      <c r="B7" s="143" t="s">
        <v>168</v>
      </c>
      <c r="C7" s="3" t="e">
        <f>'raidisseur (2)'!$B42</f>
        <v>#DIV/0!</v>
      </c>
      <c r="D7" s="3" t="e">
        <f>'raidisseur (3)'!$B42</f>
        <v>#DIV/0!</v>
      </c>
      <c r="E7" s="3" t="e">
        <f>'raidisseur (4)'!$B42</f>
        <v>#DIV/0!</v>
      </c>
    </row>
    <row r="8" spans="1:5" ht="15">
      <c r="A8" s="141"/>
      <c r="B8" s="144" t="s">
        <v>169</v>
      </c>
      <c r="C8" s="3" t="e">
        <f>'raidisseur (2)'!$C42</f>
        <v>#DIV/0!</v>
      </c>
      <c r="D8" s="3" t="e">
        <f>'raidisseur (3)'!$C42</f>
        <v>#DIV/0!</v>
      </c>
      <c r="E8" s="3" t="e">
        <f>'raidisseur (4)'!$C42</f>
        <v>#DIV/0!</v>
      </c>
    </row>
    <row r="9" spans="1:5" ht="15">
      <c r="A9" s="135" t="s">
        <v>170</v>
      </c>
      <c r="B9" s="145" t="s">
        <v>171</v>
      </c>
      <c r="C9" s="142" t="e">
        <f>'largeur_eff_ame (2)'!$G3</f>
        <v>#DIV/0!</v>
      </c>
      <c r="D9" s="142" t="e">
        <f>'largeur_eff_ame (3)'!$G3</f>
        <v>#DIV/0!</v>
      </c>
      <c r="E9" s="142" t="e">
        <f>'largeur_eff_ame (4)'!$G3</f>
        <v>#DIV/0!</v>
      </c>
    </row>
    <row r="10" spans="1:5" ht="15">
      <c r="A10" s="138"/>
      <c r="B10" s="145" t="s">
        <v>172</v>
      </c>
      <c r="C10" s="142" t="e">
        <f>'largeur_eff_ame (2)'!$H3</f>
        <v>#DIV/0!</v>
      </c>
      <c r="D10" s="142" t="e">
        <f>'largeur_eff_ame (3)'!$H3</f>
        <v>#DIV/0!</v>
      </c>
      <c r="E10" s="142" t="e">
        <f>'largeur_eff_ame (4)'!$H3</f>
        <v>#DIV/0!</v>
      </c>
    </row>
    <row r="11" spans="1:5" ht="15">
      <c r="A11" s="138"/>
      <c r="B11" s="144" t="s">
        <v>173</v>
      </c>
      <c r="C11" s="142" t="e">
        <f>'largeur_eff_ame (2)'!$B6</f>
        <v>#DIV/0!</v>
      </c>
      <c r="D11" s="142" t="e">
        <f>'largeur_eff_ame (3)'!$B6</f>
        <v>#DIV/0!</v>
      </c>
      <c r="E11" s="142" t="e">
        <f>'largeur_eff_ame (4)'!$B6</f>
        <v>#DIV/0!</v>
      </c>
    </row>
    <row r="12" spans="1:5" ht="15">
      <c r="A12" s="138"/>
      <c r="B12" s="146" t="s">
        <v>174</v>
      </c>
      <c r="C12" s="142" t="e">
        <f>'largeur_eff_ame (2)'!$C6</f>
        <v>#DIV/0!</v>
      </c>
      <c r="D12" s="142" t="e">
        <f>'largeur_eff_ame (3)'!$C6</f>
        <v>#DIV/0!</v>
      </c>
      <c r="E12" s="142" t="e">
        <f>'largeur_eff_ame (4)'!$C6</f>
        <v>#DIV/0!</v>
      </c>
    </row>
    <row r="13" spans="1:5" ht="15">
      <c r="A13" s="138"/>
      <c r="B13" s="144" t="s">
        <v>175</v>
      </c>
      <c r="C13" s="142" t="e">
        <f>'largeur_eff_ame (2)'!$D6</f>
        <v>#DIV/0!</v>
      </c>
      <c r="D13" s="142" t="e">
        <f>'largeur_eff_ame (3)'!$D6</f>
        <v>#DIV/0!</v>
      </c>
      <c r="E13" s="142" t="e">
        <f>'largeur_eff_ame (4)'!$D6</f>
        <v>#DIV/0!</v>
      </c>
    </row>
    <row r="14" spans="1:5" ht="15">
      <c r="A14" s="138"/>
      <c r="B14" s="146" t="s">
        <v>176</v>
      </c>
      <c r="C14" s="142" t="e">
        <f>C12+C13</f>
        <v>#DIV/0!</v>
      </c>
      <c r="D14" s="142" t="e">
        <f>D12+D13</f>
        <v>#DIV/0!</v>
      </c>
      <c r="E14" s="142" t="e">
        <f>E12+E13</f>
        <v>#DIV/0!</v>
      </c>
    </row>
    <row r="15" spans="1:5">
      <c r="A15" s="138"/>
      <c r="B15" s="144"/>
      <c r="C15" s="1" t="s">
        <v>177</v>
      </c>
      <c r="D15" s="1" t="s">
        <v>177</v>
      </c>
      <c r="E15" s="1" t="s">
        <v>177</v>
      </c>
    </row>
    <row r="16" spans="1:5" ht="15">
      <c r="A16" s="138"/>
      <c r="B16" s="146" t="s">
        <v>174</v>
      </c>
      <c r="C16" s="1" t="s">
        <v>178</v>
      </c>
      <c r="D16" s="1" t="s">
        <v>178</v>
      </c>
      <c r="E16" s="1" t="s">
        <v>178</v>
      </c>
    </row>
    <row r="17" spans="1:5" ht="15">
      <c r="A17" s="138"/>
      <c r="B17" s="144" t="s">
        <v>175</v>
      </c>
      <c r="C17" s="1" t="s">
        <v>179</v>
      </c>
      <c r="D17" s="1" t="s">
        <v>179</v>
      </c>
      <c r="E17" s="1" t="s">
        <v>179</v>
      </c>
    </row>
    <row r="18" spans="1:5" ht="15">
      <c r="A18" s="1" t="s">
        <v>180</v>
      </c>
      <c r="B18" s="145" t="s">
        <v>181</v>
      </c>
      <c r="C18" s="142" t="e">
        <f>'résistance_section (2)'!$E28</f>
        <v>#DIV/0!</v>
      </c>
      <c r="D18" s="142" t="e">
        <f>'résistance_section (3)'!$E28</f>
        <v>#DIV/0!</v>
      </c>
      <c r="E18" s="142" t="e">
        <f>'résistance_section (4)'!$E28</f>
        <v>#DIV/0!</v>
      </c>
    </row>
    <row r="19" spans="1:5" ht="15">
      <c r="A19" s="1" t="s">
        <v>182</v>
      </c>
      <c r="B19" s="140" t="s">
        <v>183</v>
      </c>
      <c r="C19" s="142" t="e">
        <f>'résistance_section (2)'!$H28</f>
        <v>#DIV/0!</v>
      </c>
      <c r="D19" s="142" t="e">
        <f>'résistance_section (3)'!$H28</f>
        <v>#DIV/0!</v>
      </c>
      <c r="E19" s="142" t="e">
        <f>'résistance_section (4)'!$H28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topLeftCell="B1" workbookViewId="0">
      <selection activeCell="H48" sqref="H48:O62"/>
    </sheetView>
  </sheetViews>
  <sheetFormatPr baseColWidth="10" defaultRowHeight="14" x14ac:dyDescent="0"/>
  <cols>
    <col min="2" max="2" width="5.5" bestFit="1" customWidth="1"/>
    <col min="3" max="3" width="4.5" bestFit="1" customWidth="1"/>
    <col min="4" max="4" width="11.33203125" bestFit="1" customWidth="1"/>
    <col min="5" max="5" width="10.33203125" bestFit="1" customWidth="1"/>
    <col min="6" max="6" width="4.5" bestFit="1" customWidth="1"/>
    <col min="7" max="7" width="6.83203125" customWidth="1"/>
    <col min="8" max="8" width="4.5" customWidth="1"/>
    <col min="9" max="9" width="5.5" bestFit="1" customWidth="1"/>
    <col min="10" max="10" width="7.1640625" customWidth="1"/>
    <col min="11" max="11" width="5.5" customWidth="1"/>
    <col min="12" max="12" width="7.6640625" customWidth="1"/>
    <col min="13" max="13" width="5.5" bestFit="1" customWidth="1"/>
    <col min="14" max="14" width="7.83203125" bestFit="1" customWidth="1"/>
    <col min="15" max="15" width="8.5" bestFit="1" customWidth="1"/>
  </cols>
  <sheetData>
    <row r="2" spans="2: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7">
      <c r="B4" s="2" t="s">
        <v>18</v>
      </c>
      <c r="C4" s="2" t="s">
        <v>0</v>
      </c>
      <c r="D4" s="2" t="s">
        <v>17</v>
      </c>
      <c r="E4" s="2" t="s">
        <v>2</v>
      </c>
      <c r="F4" s="2" t="s">
        <v>1</v>
      </c>
      <c r="G4" s="41" t="s">
        <v>67</v>
      </c>
      <c r="H4" s="38" t="s">
        <v>63</v>
      </c>
      <c r="I4" s="2" t="s">
        <v>19</v>
      </c>
      <c r="J4" s="39" t="s">
        <v>65</v>
      </c>
      <c r="K4" s="40" t="s">
        <v>66</v>
      </c>
      <c r="L4" s="2" t="s">
        <v>64</v>
      </c>
      <c r="M4" s="2" t="s">
        <v>3</v>
      </c>
      <c r="N4" s="10" t="s">
        <v>20</v>
      </c>
      <c r="O4" s="10" t="s">
        <v>4</v>
      </c>
    </row>
    <row r="5" spans="2:15">
      <c r="B5" s="7">
        <f>données!C8</f>
        <v>0</v>
      </c>
      <c r="C5" s="7">
        <f>données!E3</f>
        <v>0</v>
      </c>
      <c r="D5" s="36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MIN(D5,D5*(données!L3-données!L44)/données!L44)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56" t="e">
        <f>N5/2</f>
        <v>#DIV/0!</v>
      </c>
    </row>
    <row r="6" spans="2:15">
      <c r="B6" s="8"/>
      <c r="C6" s="8"/>
      <c r="D6" s="3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>
      <c r="B7" s="8"/>
      <c r="C7" s="8"/>
      <c r="D7" s="37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>
      <c r="B8" s="8"/>
      <c r="C8" s="8"/>
      <c r="D8" s="37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>
      <c r="B9" s="2"/>
      <c r="C9" s="2"/>
      <c r="D9" s="10"/>
      <c r="E9" s="2"/>
      <c r="F9" s="2"/>
      <c r="G9" s="41"/>
      <c r="H9" s="38"/>
      <c r="I9" s="2"/>
      <c r="J9" s="39"/>
      <c r="K9" s="40"/>
      <c r="L9" s="2"/>
      <c r="M9" s="2"/>
      <c r="N9" s="10"/>
      <c r="O9" s="10"/>
    </row>
    <row r="10" spans="2:15">
      <c r="B10" s="12"/>
      <c r="C10" s="7"/>
      <c r="D10" s="36"/>
      <c r="E10" s="7"/>
      <c r="F10" s="7"/>
      <c r="G10" s="7"/>
      <c r="H10" s="7"/>
      <c r="I10" s="11"/>
      <c r="J10" s="11"/>
      <c r="K10" s="11"/>
      <c r="L10" s="11"/>
      <c r="M10" s="11"/>
      <c r="N10" s="7"/>
      <c r="O10" s="5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7"/>
  <sheetViews>
    <sheetView topLeftCell="A23" zoomScale="150" zoomScaleNormal="150" zoomScalePageLayoutView="150" workbookViewId="0">
      <selection activeCell="H48" sqref="H48:O62"/>
    </sheetView>
  </sheetViews>
  <sheetFormatPr baseColWidth="10" defaultRowHeight="14" x14ac:dyDescent="0"/>
  <cols>
    <col min="2" max="2" width="11.5" bestFit="1" customWidth="1"/>
    <col min="3" max="3" width="7.6640625" bestFit="1" customWidth="1"/>
    <col min="4" max="4" width="8.33203125" bestFit="1" customWidth="1"/>
    <col min="5" max="5" width="11.1640625" customWidth="1"/>
    <col min="6" max="6" width="8.5" customWidth="1"/>
    <col min="7" max="7" width="10.33203125" bestFit="1" customWidth="1"/>
    <col min="8" max="8" width="7.5" bestFit="1" customWidth="1"/>
    <col min="11" max="11" width="14.83203125" bestFit="1" customWidth="1"/>
    <col min="12" max="12" width="17" customWidth="1"/>
    <col min="13" max="13" width="17" bestFit="1" customWidth="1"/>
    <col min="14" max="15" width="14.83203125" bestFit="1" customWidth="1"/>
    <col min="16" max="16" width="16.1640625" bestFit="1" customWidth="1"/>
    <col min="17" max="17" width="17" bestFit="1" customWidth="1"/>
    <col min="18" max="18" width="14.83203125" bestFit="1" customWidth="1"/>
  </cols>
  <sheetData>
    <row r="2" spans="1:18" ht="17">
      <c r="B2" s="2" t="s">
        <v>21</v>
      </c>
      <c r="C2" s="2" t="s">
        <v>18</v>
      </c>
      <c r="D2" s="2" t="s">
        <v>0</v>
      </c>
      <c r="E2" s="2" t="s">
        <v>2</v>
      </c>
      <c r="F2" s="8"/>
      <c r="G2" s="8"/>
      <c r="H2" s="8"/>
      <c r="I2" s="8"/>
    </row>
    <row r="3" spans="1:18">
      <c r="B3" s="7">
        <f>(données!C30+données!C31+données!C32+données!C33/2)*2</f>
        <v>0</v>
      </c>
      <c r="C3" s="7">
        <f>largeur_eff_semelle!B5</f>
        <v>0</v>
      </c>
      <c r="D3" s="2">
        <f>données!E3</f>
        <v>0</v>
      </c>
      <c r="E3" s="7">
        <f>données!H3</f>
        <v>0</v>
      </c>
      <c r="F3" s="8"/>
      <c r="G3" s="8"/>
      <c r="H3" s="8"/>
      <c r="I3" s="8"/>
    </row>
    <row r="4" spans="1:18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7">
      <c r="B5" s="13" t="s">
        <v>5</v>
      </c>
      <c r="C5" s="13" t="s">
        <v>39</v>
      </c>
      <c r="D5" s="13" t="s">
        <v>42</v>
      </c>
      <c r="E5" s="13" t="s">
        <v>40</v>
      </c>
      <c r="F5" s="13" t="s">
        <v>43</v>
      </c>
      <c r="G5" s="13" t="s">
        <v>41</v>
      </c>
      <c r="H5" s="13" t="s">
        <v>7</v>
      </c>
      <c r="I5" s="13" t="s">
        <v>44</v>
      </c>
      <c r="J5" s="8"/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13" t="s">
        <v>36</v>
      </c>
      <c r="R5" s="13"/>
    </row>
    <row r="6" spans="1:18" ht="17">
      <c r="A6" s="4"/>
      <c r="B6" s="13" t="s">
        <v>68</v>
      </c>
      <c r="C6" s="14">
        <f>15*D3-données!I19</f>
        <v>0</v>
      </c>
      <c r="D6" s="14">
        <f>C6*$D$3</f>
        <v>0</v>
      </c>
      <c r="E6" s="14">
        <v>0</v>
      </c>
      <c r="F6" s="14">
        <f>D6*E6</f>
        <v>0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12" t="e">
        <f>15*D$3*H$6^3/12+15*D$3*D$3*G$6^2</f>
        <v>#DIV/0!</v>
      </c>
      <c r="K6" s="2" t="s">
        <v>37</v>
      </c>
      <c r="L6" s="2"/>
      <c r="M6" s="2" t="s">
        <v>38</v>
      </c>
      <c r="N6" s="2"/>
      <c r="O6" s="2" t="s">
        <v>82</v>
      </c>
      <c r="P6" s="2"/>
      <c r="Q6" s="2" t="s">
        <v>83</v>
      </c>
      <c r="R6" s="2"/>
    </row>
    <row r="7" spans="1:18">
      <c r="A7" s="4"/>
      <c r="B7" s="13">
        <v>2</v>
      </c>
      <c r="C7" s="14">
        <f>données!C33</f>
        <v>0</v>
      </c>
      <c r="D7" s="14">
        <f t="shared" ref="D7:D15" si="0">C7*$D$3</f>
        <v>0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>
      <c r="A8" s="4"/>
      <c r="B8" s="13">
        <v>3</v>
      </c>
      <c r="C8" s="14">
        <f>données!C32</f>
        <v>0</v>
      </c>
      <c r="D8" s="14">
        <f t="shared" si="0"/>
        <v>0</v>
      </c>
      <c r="E8" s="42">
        <f>données!N3/2</f>
        <v>0</v>
      </c>
      <c r="F8" s="14">
        <f t="shared" si="1"/>
        <v>0</v>
      </c>
      <c r="G8" s="15" t="e">
        <f t="shared" si="2"/>
        <v>#DIV/0!</v>
      </c>
      <c r="H8" s="15">
        <f>données!M32</f>
        <v>0</v>
      </c>
      <c r="I8" s="7" t="e">
        <f>D8*H8^2/12+D8*G8^2</f>
        <v>#DIV/0!</v>
      </c>
      <c r="J8" s="8"/>
      <c r="K8" s="8"/>
      <c r="L8" s="8"/>
    </row>
    <row r="9" spans="1:18">
      <c r="A9" s="4"/>
      <c r="B9" s="13">
        <v>4</v>
      </c>
      <c r="C9" s="14">
        <f>données!C31</f>
        <v>0</v>
      </c>
      <c r="D9" s="14">
        <f t="shared" si="0"/>
        <v>0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>
      <c r="A10" s="4"/>
      <c r="B10" s="13">
        <v>5</v>
      </c>
      <c r="C10" s="14">
        <f>données!C30</f>
        <v>0</v>
      </c>
      <c r="D10" s="14">
        <f t="shared" si="0"/>
        <v>0</v>
      </c>
      <c r="E10" s="42">
        <f>données!N3</f>
        <v>0</v>
      </c>
      <c r="F10" s="14">
        <f t="shared" si="1"/>
        <v>0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14</v>
      </c>
      <c r="L10" s="8" t="e">
        <f>F16/#REF!</f>
        <v>#DIV/0!</v>
      </c>
    </row>
    <row r="11" spans="1:18">
      <c r="A11" s="4"/>
      <c r="B11" s="13">
        <v>6</v>
      </c>
      <c r="C11" s="14">
        <f>C10</f>
        <v>0</v>
      </c>
      <c r="D11" s="14">
        <f t="shared" si="0"/>
        <v>0</v>
      </c>
      <c r="E11" s="16">
        <f>E10</f>
        <v>0</v>
      </c>
      <c r="F11" s="14">
        <f t="shared" si="1"/>
        <v>0</v>
      </c>
      <c r="G11" s="15" t="e">
        <f t="shared" si="2"/>
        <v>#DIV/0!</v>
      </c>
      <c r="H11" s="15">
        <f>H10</f>
        <v>0</v>
      </c>
      <c r="I11" s="54" t="e">
        <f>I10</f>
        <v>#DIV/0!</v>
      </c>
      <c r="J11" s="8"/>
    </row>
    <row r="12" spans="1:18">
      <c r="A12" s="4"/>
      <c r="B12" s="13">
        <v>7</v>
      </c>
      <c r="C12" s="14">
        <f>C9</f>
        <v>0</v>
      </c>
      <c r="D12" s="14">
        <f t="shared" si="0"/>
        <v>0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99" t="e">
        <f>I9</f>
        <v>#DIV/0!</v>
      </c>
      <c r="J12" s="8"/>
    </row>
    <row r="13" spans="1:18">
      <c r="A13" s="4"/>
      <c r="B13" s="13">
        <v>8</v>
      </c>
      <c r="C13" s="14">
        <f>C8</f>
        <v>0</v>
      </c>
      <c r="D13" s="14">
        <f t="shared" si="0"/>
        <v>0</v>
      </c>
      <c r="E13" s="14">
        <f>E8</f>
        <v>0</v>
      </c>
      <c r="F13" s="14">
        <f t="shared" si="1"/>
        <v>0</v>
      </c>
      <c r="G13" s="15" t="e">
        <f t="shared" si="2"/>
        <v>#DIV/0!</v>
      </c>
      <c r="H13" s="14">
        <f>H8</f>
        <v>0</v>
      </c>
      <c r="I13" s="100" t="e">
        <f>I8</f>
        <v>#DIV/0!</v>
      </c>
      <c r="J13" s="8"/>
    </row>
    <row r="14" spans="1:18">
      <c r="A14" s="4"/>
      <c r="B14" s="13">
        <v>9</v>
      </c>
      <c r="C14" s="14">
        <f>C7</f>
        <v>0</v>
      </c>
      <c r="D14" s="14">
        <f t="shared" si="0"/>
        <v>0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01" t="e">
        <f>I7</f>
        <v>#DIV/0!</v>
      </c>
      <c r="J14" s="8"/>
    </row>
    <row r="15" spans="1:18">
      <c r="B15" s="13" t="s">
        <v>69</v>
      </c>
      <c r="C15" s="14">
        <f>15*D3-données!I19</f>
        <v>0</v>
      </c>
      <c r="D15" s="14">
        <f t="shared" si="0"/>
        <v>0</v>
      </c>
      <c r="E15" s="14">
        <v>0</v>
      </c>
      <c r="F15" s="14">
        <f t="shared" si="1"/>
        <v>0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>
      <c r="B16" s="25" t="s">
        <v>6</v>
      </c>
      <c r="C16" s="16"/>
      <c r="D16" s="26">
        <f>SUM(D6:D15)</f>
        <v>0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>
      <c r="B17" s="18"/>
      <c r="C17" s="18"/>
      <c r="D17" s="18"/>
      <c r="E17" s="18"/>
      <c r="F17" s="18"/>
      <c r="G17" s="18"/>
      <c r="H17" s="19"/>
      <c r="I17" s="19"/>
      <c r="J17" s="19"/>
      <c r="K17" s="8"/>
      <c r="L17" s="8"/>
    </row>
    <row r="18" spans="1:18" ht="17">
      <c r="B18" s="13" t="s">
        <v>5</v>
      </c>
      <c r="C18" s="13" t="s">
        <v>39</v>
      </c>
      <c r="D18" s="13" t="s">
        <v>42</v>
      </c>
      <c r="E18" s="13"/>
      <c r="F18" s="13"/>
      <c r="G18" s="13"/>
      <c r="H18" s="13"/>
      <c r="I18" s="13"/>
      <c r="J18" s="8"/>
      <c r="K18" s="13" t="s">
        <v>30</v>
      </c>
      <c r="L18" s="13" t="s">
        <v>31</v>
      </c>
      <c r="M18" s="13" t="s">
        <v>32</v>
      </c>
      <c r="N18" s="13" t="s">
        <v>33</v>
      </c>
      <c r="O18" s="13" t="s">
        <v>34</v>
      </c>
      <c r="P18" s="13" t="s">
        <v>35</v>
      </c>
      <c r="Q18" s="13" t="s">
        <v>36</v>
      </c>
      <c r="R18" s="13"/>
    </row>
    <row r="19" spans="1:18" ht="17">
      <c r="A19" s="4"/>
      <c r="B19" s="13" t="s">
        <v>68</v>
      </c>
      <c r="C19" s="14" t="e">
        <f>largeur_eff_semelle!O5-données!I19</f>
        <v>#DIV/0!</v>
      </c>
      <c r="D19" s="14" t="e">
        <f>C19*$D$3</f>
        <v>#DIV/0!</v>
      </c>
      <c r="E19" s="14"/>
      <c r="F19" s="14"/>
      <c r="G19" s="15"/>
      <c r="H19" s="15"/>
      <c r="I19" s="7"/>
      <c r="J19" s="12" t="e">
        <f>15*D$3*H$6^3/12+15*D$3*D$3*G$6^2</f>
        <v>#DIV/0!</v>
      </c>
      <c r="K19" s="2" t="s">
        <v>37</v>
      </c>
      <c r="L19" s="2"/>
      <c r="M19" s="2" t="s">
        <v>38</v>
      </c>
      <c r="N19" s="2"/>
      <c r="O19" s="2" t="s">
        <v>82</v>
      </c>
      <c r="P19" s="2"/>
      <c r="Q19" s="2" t="s">
        <v>83</v>
      </c>
      <c r="R19" s="2"/>
    </row>
    <row r="20" spans="1:18">
      <c r="A20" s="4"/>
      <c r="B20" s="13">
        <v>2</v>
      </c>
      <c r="C20" s="14">
        <f>C7</f>
        <v>0</v>
      </c>
      <c r="D20" s="14">
        <f t="shared" ref="D20:D28" si="3">C20*$D$3</f>
        <v>0</v>
      </c>
      <c r="E20" s="14"/>
      <c r="F20" s="14"/>
      <c r="G20" s="15"/>
      <c r="H20" s="15"/>
      <c r="I20" s="6"/>
      <c r="J20" s="8"/>
      <c r="K20" s="8"/>
      <c r="L20" s="8"/>
    </row>
    <row r="21" spans="1:18">
      <c r="A21" s="4"/>
      <c r="B21" s="13">
        <v>3</v>
      </c>
      <c r="C21" s="14">
        <f t="shared" ref="C21:C27" si="4">C8</f>
        <v>0</v>
      </c>
      <c r="D21" s="14">
        <f t="shared" si="3"/>
        <v>0</v>
      </c>
      <c r="E21" s="42"/>
      <c r="F21" s="14"/>
      <c r="G21" s="15"/>
      <c r="H21" s="15"/>
      <c r="I21" s="7"/>
      <c r="J21" s="8"/>
      <c r="K21" s="8"/>
      <c r="L21" s="8"/>
    </row>
    <row r="22" spans="1:18">
      <c r="A22" s="4"/>
      <c r="B22" s="13">
        <v>4</v>
      </c>
      <c r="C22" s="14">
        <f t="shared" si="4"/>
        <v>0</v>
      </c>
      <c r="D22" s="14">
        <f t="shared" si="3"/>
        <v>0</v>
      </c>
      <c r="E22" s="16"/>
      <c r="F22" s="14"/>
      <c r="G22" s="15"/>
      <c r="H22" s="15"/>
      <c r="I22" s="6"/>
      <c r="J22" s="8"/>
      <c r="K22" s="8"/>
      <c r="L22" s="8"/>
    </row>
    <row r="23" spans="1:18">
      <c r="A23" s="4"/>
      <c r="B23" s="13">
        <v>5</v>
      </c>
      <c r="C23" s="14">
        <f t="shared" si="4"/>
        <v>0</v>
      </c>
      <c r="D23" s="14">
        <f t="shared" si="3"/>
        <v>0</v>
      </c>
      <c r="E23" s="42"/>
      <c r="F23" s="14"/>
      <c r="G23" s="15"/>
      <c r="H23" s="15"/>
      <c r="I23" s="7"/>
      <c r="J23" s="8"/>
      <c r="K23" s="8" t="s">
        <v>14</v>
      </c>
      <c r="L23" s="8" t="e">
        <f>F29/#REF!</f>
        <v>#REF!</v>
      </c>
    </row>
    <row r="24" spans="1:18">
      <c r="A24" s="4"/>
      <c r="B24" s="13">
        <v>6</v>
      </c>
      <c r="C24" s="14">
        <f t="shared" si="4"/>
        <v>0</v>
      </c>
      <c r="D24" s="14">
        <f t="shared" si="3"/>
        <v>0</v>
      </c>
      <c r="E24" s="16"/>
      <c r="F24" s="14"/>
      <c r="G24" s="15"/>
      <c r="H24" s="15"/>
      <c r="I24" s="54"/>
      <c r="J24" s="8"/>
    </row>
    <row r="25" spans="1:18">
      <c r="A25" s="4"/>
      <c r="B25" s="13">
        <v>7</v>
      </c>
      <c r="C25" s="14">
        <f t="shared" si="4"/>
        <v>0</v>
      </c>
      <c r="D25" s="14">
        <f t="shared" si="3"/>
        <v>0</v>
      </c>
      <c r="E25" s="14"/>
      <c r="F25" s="14"/>
      <c r="G25" s="15"/>
      <c r="H25" s="14"/>
      <c r="I25" s="99"/>
      <c r="J25" s="8"/>
    </row>
    <row r="26" spans="1:18">
      <c r="A26" s="4"/>
      <c r="B26" s="13">
        <v>8</v>
      </c>
      <c r="C26" s="14">
        <f t="shared" si="4"/>
        <v>0</v>
      </c>
      <c r="D26" s="14">
        <f t="shared" si="3"/>
        <v>0</v>
      </c>
      <c r="E26" s="14"/>
      <c r="F26" s="14"/>
      <c r="G26" s="15"/>
      <c r="H26" s="14"/>
      <c r="I26" s="100"/>
      <c r="J26" s="8"/>
    </row>
    <row r="27" spans="1:18">
      <c r="A27" s="4"/>
      <c r="B27" s="13">
        <v>9</v>
      </c>
      <c r="C27" s="14">
        <f t="shared" si="4"/>
        <v>0</v>
      </c>
      <c r="D27" s="14">
        <f t="shared" si="3"/>
        <v>0</v>
      </c>
      <c r="E27" s="14"/>
      <c r="F27" s="14"/>
      <c r="G27" s="15"/>
      <c r="H27" s="14"/>
      <c r="I27" s="101"/>
      <c r="J27" s="8"/>
    </row>
    <row r="28" spans="1:18">
      <c r="B28" s="13" t="s">
        <v>69</v>
      </c>
      <c r="C28" s="14" t="e">
        <f>largeur_eff_semelle!O5-données!I19</f>
        <v>#DIV/0!</v>
      </c>
      <c r="D28" s="14" t="e">
        <f t="shared" si="3"/>
        <v>#DIV/0!</v>
      </c>
      <c r="E28" s="14"/>
      <c r="F28" s="14"/>
      <c r="G28" s="15"/>
      <c r="H28" s="15"/>
      <c r="I28" s="7"/>
      <c r="J28" s="8"/>
    </row>
    <row r="29" spans="1:18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>
      <c r="B30" s="18"/>
      <c r="C30" s="18"/>
      <c r="D30" s="18"/>
      <c r="E30" s="18"/>
      <c r="F30" s="18"/>
      <c r="G30" s="18"/>
      <c r="H30" s="19"/>
      <c r="I30" s="19"/>
      <c r="J30" s="19"/>
      <c r="K30" s="8"/>
      <c r="L30" s="8"/>
    </row>
    <row r="31" spans="1:18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7">
      <c r="B32" s="2" t="s">
        <v>91</v>
      </c>
      <c r="C32" s="2"/>
      <c r="D32" s="2" t="s">
        <v>22</v>
      </c>
      <c r="E32" s="2" t="s">
        <v>23</v>
      </c>
      <c r="F32" s="2" t="s">
        <v>24</v>
      </c>
      <c r="G32" s="2" t="s">
        <v>25</v>
      </c>
      <c r="H32" s="2" t="s">
        <v>87</v>
      </c>
      <c r="I32" s="2" t="s">
        <v>26</v>
      </c>
      <c r="J32" s="8"/>
      <c r="K32" s="8"/>
      <c r="L32" s="8"/>
    </row>
    <row r="33" spans="2:12">
      <c r="B33" s="7">
        <f>2*C3+B3</f>
        <v>0</v>
      </c>
      <c r="C33" s="7"/>
      <c r="D33" s="7">
        <f>data!J6</f>
        <v>0</v>
      </c>
      <c r="E33" s="7">
        <f>données!M3</f>
        <v>0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58" t="e">
        <f>IF(G33&gt;2,H33,(H33-(H33-1)*(2*F33/E33-(F33/E33)^2)))</f>
        <v>#DIV/0!</v>
      </c>
      <c r="J33" s="8"/>
      <c r="K33" s="8"/>
      <c r="L33" s="8"/>
    </row>
    <row r="34" spans="2:1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7">
      <c r="B35" s="2" t="s">
        <v>45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7">
      <c r="B38" s="2" t="s">
        <v>17</v>
      </c>
      <c r="C38" s="2" t="s">
        <v>9</v>
      </c>
      <c r="D38" s="2" t="s">
        <v>88</v>
      </c>
      <c r="E38" s="2" t="s">
        <v>89</v>
      </c>
    </row>
    <row r="39" spans="2:12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7">
      <c r="B41" s="7" t="s">
        <v>10</v>
      </c>
      <c r="C41" s="13" t="s">
        <v>51</v>
      </c>
      <c r="E41" s="2" t="s">
        <v>109</v>
      </c>
    </row>
    <row r="42" spans="2:12">
      <c r="B42" s="59" t="e">
        <f>E39</f>
        <v>#DIV/0!</v>
      </c>
      <c r="C42" s="14" t="e">
        <f>B42*données!E3*B39/largeur_eff_semelle!K5/largeur_eff_semelle!J5</f>
        <v>#DIV/0!</v>
      </c>
      <c r="E42" t="e">
        <f>B39/largeur_eff_semelle!K5/largeur_eff_semelle!J5</f>
        <v>#DIV/0!</v>
      </c>
      <c r="G42" s="65" t="e">
        <f>B42*E42</f>
        <v>#DIV/0!</v>
      </c>
    </row>
    <row r="45" spans="2:12" ht="17">
      <c r="B45" s="2" t="s">
        <v>13</v>
      </c>
      <c r="C45" s="13" t="s">
        <v>147</v>
      </c>
      <c r="D45" s="13" t="s">
        <v>42</v>
      </c>
      <c r="E45" s="13"/>
      <c r="F45" s="13"/>
      <c r="G45" s="13"/>
      <c r="H45" s="21"/>
      <c r="I45" s="13"/>
    </row>
    <row r="46" spans="2:12">
      <c r="B46" s="122" t="s">
        <v>186</v>
      </c>
      <c r="C46" s="128" t="e">
        <f>C19</f>
        <v>#DIV/0!</v>
      </c>
      <c r="D46" s="128" t="e">
        <f>D19</f>
        <v>#DIV/0!</v>
      </c>
      <c r="E46" s="124"/>
      <c r="F46" s="124"/>
      <c r="G46" s="124"/>
      <c r="H46" s="129"/>
      <c r="I46" s="129"/>
    </row>
    <row r="47" spans="2:12" ht="17">
      <c r="B47" s="122" t="s">
        <v>152</v>
      </c>
      <c r="C47" s="128">
        <f t="shared" ref="C47:D49" si="5">C20</f>
        <v>0</v>
      </c>
      <c r="D47" s="128">
        <f t="shared" si="5"/>
        <v>0</v>
      </c>
      <c r="E47" s="124"/>
      <c r="F47" s="124"/>
      <c r="G47" s="124"/>
      <c r="H47" s="129"/>
      <c r="I47" s="129"/>
    </row>
    <row r="48" spans="2:12">
      <c r="B48" s="1">
        <v>2</v>
      </c>
      <c r="C48" s="128">
        <f t="shared" si="5"/>
        <v>0</v>
      </c>
      <c r="D48" s="128">
        <f t="shared" si="5"/>
        <v>0</v>
      </c>
      <c r="E48" s="124"/>
      <c r="F48" s="124"/>
      <c r="G48" s="124"/>
      <c r="H48" s="129"/>
      <c r="I48" s="129"/>
    </row>
    <row r="49" spans="2:9" ht="17">
      <c r="B49" s="122" t="s">
        <v>151</v>
      </c>
      <c r="C49" s="128">
        <f t="shared" si="5"/>
        <v>0</v>
      </c>
      <c r="D49" s="128">
        <f t="shared" si="5"/>
        <v>0</v>
      </c>
      <c r="E49" s="124"/>
      <c r="F49" s="124"/>
      <c r="G49" s="124"/>
      <c r="H49" s="129"/>
      <c r="I49" s="129"/>
    </row>
    <row r="50" spans="2:9">
      <c r="B50" s="122">
        <v>1</v>
      </c>
      <c r="C50" s="128">
        <f>2*C23</f>
        <v>0</v>
      </c>
      <c r="D50" s="128">
        <f>2*D23</f>
        <v>0</v>
      </c>
      <c r="E50" s="124"/>
      <c r="F50" s="124"/>
      <c r="G50" s="124"/>
      <c r="H50" s="129"/>
      <c r="I50" s="129"/>
    </row>
    <row r="51" spans="2:9" ht="17">
      <c r="B51" s="122" t="s">
        <v>151</v>
      </c>
      <c r="C51" s="128">
        <f>C25</f>
        <v>0</v>
      </c>
      <c r="D51" s="128">
        <f>D25</f>
        <v>0</v>
      </c>
      <c r="E51" s="124"/>
      <c r="F51" s="124"/>
      <c r="G51" s="124"/>
      <c r="H51" s="129"/>
      <c r="I51" s="129"/>
    </row>
    <row r="52" spans="2:9">
      <c r="B52" s="122">
        <v>2</v>
      </c>
      <c r="C52" s="128">
        <f t="shared" ref="C52:D54" si="6">C26</f>
        <v>0</v>
      </c>
      <c r="D52" s="128">
        <f t="shared" si="6"/>
        <v>0</v>
      </c>
      <c r="E52" s="124"/>
      <c r="F52" s="124"/>
      <c r="G52" s="124"/>
      <c r="H52" s="129"/>
      <c r="I52" s="129"/>
    </row>
    <row r="53" spans="2:9" ht="17">
      <c r="B53" s="122" t="s">
        <v>152</v>
      </c>
      <c r="C53" s="128">
        <f t="shared" si="6"/>
        <v>0</v>
      </c>
      <c r="D53" s="128">
        <f t="shared" si="6"/>
        <v>0</v>
      </c>
      <c r="E53" s="124"/>
      <c r="F53" s="124"/>
      <c r="G53" s="124"/>
      <c r="H53" s="129"/>
      <c r="I53" s="129"/>
    </row>
    <row r="54" spans="2:9">
      <c r="B54" s="122" t="s">
        <v>186</v>
      </c>
      <c r="C54" s="128" t="e">
        <f t="shared" si="6"/>
        <v>#DIV/0!</v>
      </c>
      <c r="D54" s="128" t="e">
        <f t="shared" si="6"/>
        <v>#DIV/0!</v>
      </c>
      <c r="E54" s="124"/>
      <c r="F54" s="124"/>
      <c r="G54" s="124"/>
      <c r="H54" s="129"/>
      <c r="I54" s="129"/>
    </row>
    <row r="55" spans="2:9">
      <c r="B55" s="116" t="s">
        <v>150</v>
      </c>
      <c r="D55" s="123" t="e">
        <f>SUM(D46:D54)</f>
        <v>#DIV/0!</v>
      </c>
      <c r="E55" s="125"/>
      <c r="F55" s="124"/>
      <c r="G55" s="130"/>
      <c r="H55" s="129"/>
      <c r="I55" s="129"/>
    </row>
    <row r="57" spans="2:9" ht="17">
      <c r="B57" s="2" t="s">
        <v>13</v>
      </c>
      <c r="C57" s="13" t="s">
        <v>147</v>
      </c>
      <c r="D57" s="13" t="s">
        <v>42</v>
      </c>
      <c r="E57" s="13" t="s">
        <v>40</v>
      </c>
      <c r="F57" s="13" t="s">
        <v>43</v>
      </c>
      <c r="G57" s="13" t="s">
        <v>41</v>
      </c>
      <c r="H57" s="21" t="s">
        <v>7</v>
      </c>
      <c r="I57" s="13" t="s">
        <v>44</v>
      </c>
    </row>
    <row r="58" spans="2:9">
      <c r="B58" s="122" t="s">
        <v>186</v>
      </c>
      <c r="C58" s="128">
        <f t="shared" ref="C58:D61" si="7">C6</f>
        <v>0</v>
      </c>
      <c r="D58" s="128">
        <f t="shared" si="7"/>
        <v>0</v>
      </c>
      <c r="E58" s="128">
        <f t="shared" ref="E58:I58" si="8">E6</f>
        <v>0</v>
      </c>
      <c r="F58" s="128">
        <f t="shared" si="8"/>
        <v>0</v>
      </c>
      <c r="G58" s="128" t="e">
        <f t="shared" si="8"/>
        <v>#DIV/0!</v>
      </c>
      <c r="H58" s="128">
        <f t="shared" si="8"/>
        <v>0</v>
      </c>
      <c r="I58" s="128" t="e">
        <f t="shared" si="8"/>
        <v>#DIV/0!</v>
      </c>
    </row>
    <row r="59" spans="2:9" ht="17">
      <c r="B59" s="122" t="s">
        <v>152</v>
      </c>
      <c r="C59" s="128">
        <f t="shared" si="7"/>
        <v>0</v>
      </c>
      <c r="D59" s="128">
        <f t="shared" si="7"/>
        <v>0</v>
      </c>
      <c r="E59" s="128" t="e">
        <f t="shared" ref="E59:I59" si="9">E7</f>
        <v>#DIV/0!</v>
      </c>
      <c r="F59" s="128" t="e">
        <f t="shared" si="9"/>
        <v>#DIV/0!</v>
      </c>
      <c r="G59" s="128" t="e">
        <f t="shared" si="9"/>
        <v>#DIV/0!</v>
      </c>
      <c r="H59" s="128">
        <f t="shared" si="9"/>
        <v>0</v>
      </c>
      <c r="I59" s="128" t="e">
        <f t="shared" si="9"/>
        <v>#DIV/0!</v>
      </c>
    </row>
    <row r="60" spans="2:9">
      <c r="B60" s="1">
        <v>2</v>
      </c>
      <c r="C60" s="128">
        <f t="shared" si="7"/>
        <v>0</v>
      </c>
      <c r="D60" s="128">
        <f t="shared" si="7"/>
        <v>0</v>
      </c>
      <c r="E60" s="128">
        <f t="shared" ref="E60:I60" si="10">E8</f>
        <v>0</v>
      </c>
      <c r="F60" s="128">
        <f t="shared" si="10"/>
        <v>0</v>
      </c>
      <c r="G60" s="128" t="e">
        <f t="shared" si="10"/>
        <v>#DIV/0!</v>
      </c>
      <c r="H60" s="128">
        <f t="shared" si="10"/>
        <v>0</v>
      </c>
      <c r="I60" s="128" t="e">
        <f t="shared" si="10"/>
        <v>#DIV/0!</v>
      </c>
    </row>
    <row r="61" spans="2:9" ht="17">
      <c r="B61" s="122" t="s">
        <v>151</v>
      </c>
      <c r="C61" s="128">
        <f t="shared" si="7"/>
        <v>0</v>
      </c>
      <c r="D61" s="128">
        <f t="shared" si="7"/>
        <v>0</v>
      </c>
      <c r="E61" s="128" t="e">
        <f t="shared" ref="E61:I61" si="11">E9</f>
        <v>#DIV/0!</v>
      </c>
      <c r="F61" s="128" t="e">
        <f t="shared" si="11"/>
        <v>#DIV/0!</v>
      </c>
      <c r="G61" s="128" t="e">
        <f t="shared" si="11"/>
        <v>#DIV/0!</v>
      </c>
      <c r="H61" s="128">
        <f t="shared" si="11"/>
        <v>0</v>
      </c>
      <c r="I61" s="128" t="e">
        <f t="shared" si="11"/>
        <v>#DIV/0!</v>
      </c>
    </row>
    <row r="62" spans="2:9">
      <c r="B62" s="122">
        <v>1</v>
      </c>
      <c r="C62" s="128">
        <f>2*C10</f>
        <v>0</v>
      </c>
      <c r="D62" s="128">
        <f>2*D10</f>
        <v>0</v>
      </c>
      <c r="E62" s="128">
        <f>E10</f>
        <v>0</v>
      </c>
      <c r="F62" s="128">
        <f t="shared" ref="F62:I62" si="12">2*F10</f>
        <v>0</v>
      </c>
      <c r="G62" s="128" t="e">
        <f t="shared" si="12"/>
        <v>#DIV/0!</v>
      </c>
      <c r="H62" s="128">
        <f t="shared" si="12"/>
        <v>0</v>
      </c>
      <c r="I62" s="128" t="e">
        <f t="shared" si="12"/>
        <v>#DIV/0!</v>
      </c>
    </row>
    <row r="63" spans="2:9" ht="17">
      <c r="B63" s="122" t="s">
        <v>151</v>
      </c>
      <c r="C63" s="128">
        <f>C12</f>
        <v>0</v>
      </c>
      <c r="D63" s="128">
        <f t="shared" ref="D63:I63" si="13">D12</f>
        <v>0</v>
      </c>
      <c r="E63" s="128" t="e">
        <f t="shared" si="13"/>
        <v>#DIV/0!</v>
      </c>
      <c r="F63" s="128" t="e">
        <f t="shared" si="13"/>
        <v>#DIV/0!</v>
      </c>
      <c r="G63" s="128" t="e">
        <f t="shared" si="13"/>
        <v>#DIV/0!</v>
      </c>
      <c r="H63" s="128">
        <f t="shared" si="13"/>
        <v>0</v>
      </c>
      <c r="I63" s="128" t="e">
        <f t="shared" si="13"/>
        <v>#DIV/0!</v>
      </c>
    </row>
    <row r="64" spans="2:9">
      <c r="B64" s="122">
        <v>2</v>
      </c>
      <c r="C64" s="128">
        <f t="shared" ref="C64:I66" si="14">C13</f>
        <v>0</v>
      </c>
      <c r="D64" s="128">
        <f t="shared" si="14"/>
        <v>0</v>
      </c>
      <c r="E64" s="128">
        <f t="shared" si="14"/>
        <v>0</v>
      </c>
      <c r="F64" s="128">
        <f t="shared" si="14"/>
        <v>0</v>
      </c>
      <c r="G64" s="128" t="e">
        <f t="shared" si="14"/>
        <v>#DIV/0!</v>
      </c>
      <c r="H64" s="128">
        <f t="shared" si="14"/>
        <v>0</v>
      </c>
      <c r="I64" s="128" t="e">
        <f t="shared" si="14"/>
        <v>#DIV/0!</v>
      </c>
    </row>
    <row r="65" spans="2:9" ht="17">
      <c r="B65" s="122" t="s">
        <v>152</v>
      </c>
      <c r="C65" s="128">
        <f t="shared" si="14"/>
        <v>0</v>
      </c>
      <c r="D65" s="128">
        <f t="shared" si="14"/>
        <v>0</v>
      </c>
      <c r="E65" s="128" t="e">
        <f t="shared" si="14"/>
        <v>#DIV/0!</v>
      </c>
      <c r="F65" s="128" t="e">
        <f t="shared" si="14"/>
        <v>#DIV/0!</v>
      </c>
      <c r="G65" s="128" t="e">
        <f t="shared" si="14"/>
        <v>#DIV/0!</v>
      </c>
      <c r="H65" s="128">
        <f t="shared" si="14"/>
        <v>0</v>
      </c>
      <c r="I65" s="128" t="e">
        <f t="shared" si="14"/>
        <v>#DIV/0!</v>
      </c>
    </row>
    <row r="66" spans="2:9">
      <c r="B66" s="122" t="s">
        <v>186</v>
      </c>
      <c r="C66" s="128">
        <f t="shared" si="14"/>
        <v>0</v>
      </c>
      <c r="D66" s="128">
        <f t="shared" si="14"/>
        <v>0</v>
      </c>
      <c r="E66" s="128">
        <f t="shared" si="14"/>
        <v>0</v>
      </c>
      <c r="F66" s="128">
        <f t="shared" si="14"/>
        <v>0</v>
      </c>
      <c r="G66" s="128" t="e">
        <f t="shared" si="14"/>
        <v>#DIV/0!</v>
      </c>
      <c r="H66" s="128">
        <f t="shared" si="14"/>
        <v>0</v>
      </c>
      <c r="I66" s="128" t="e">
        <f t="shared" si="14"/>
        <v>#DIV/0!</v>
      </c>
    </row>
    <row r="67" spans="2:9">
      <c r="B67" s="116" t="s">
        <v>150</v>
      </c>
      <c r="D67" s="123">
        <f>SUM(D58:D66)</f>
        <v>0</v>
      </c>
      <c r="E67" s="125"/>
      <c r="F67" s="123" t="e">
        <f>SUM(F58:F66)</f>
        <v>#DIV/0!</v>
      </c>
      <c r="G67" s="131" t="e">
        <f>F67/D67</f>
        <v>#DIV/0!</v>
      </c>
      <c r="H67" s="129"/>
      <c r="I67" s="123" t="e">
        <f>SUM(I58:I66)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"/>
  <sheetViews>
    <sheetView topLeftCell="C1" zoomScale="150" zoomScaleNormal="150" zoomScalePageLayoutView="150" workbookViewId="0">
      <selection activeCell="H48" sqref="H48:O62"/>
    </sheetView>
  </sheetViews>
  <sheetFormatPr baseColWidth="10" defaultRowHeight="14" x14ac:dyDescent="0"/>
  <cols>
    <col min="1" max="1" width="10.83203125" style="45"/>
    <col min="2" max="2" width="5.5" style="45" bestFit="1" customWidth="1"/>
    <col min="3" max="3" width="4.5" style="45" bestFit="1" customWidth="1"/>
    <col min="4" max="4" width="11.33203125" style="45" bestFit="1" customWidth="1"/>
    <col min="5" max="5" width="10.33203125" style="45" bestFit="1" customWidth="1"/>
    <col min="6" max="6" width="4.5" style="45" bestFit="1" customWidth="1"/>
    <col min="7" max="7" width="6.83203125" style="45" customWidth="1"/>
    <col min="8" max="8" width="4.5" style="45" customWidth="1"/>
    <col min="9" max="9" width="5.5" style="45" bestFit="1" customWidth="1"/>
    <col min="10" max="10" width="7.1640625" style="45" customWidth="1"/>
    <col min="11" max="11" width="5.5" style="45" customWidth="1"/>
    <col min="12" max="12" width="7.6640625" style="45" customWidth="1"/>
    <col min="13" max="13" width="5.5" style="45" bestFit="1" customWidth="1"/>
    <col min="14" max="14" width="7.83203125" style="45" bestFit="1" customWidth="1"/>
    <col min="15" max="15" width="8.5" style="45" bestFit="1" customWidth="1"/>
    <col min="16" max="16384" width="10.83203125" style="45"/>
  </cols>
  <sheetData>
    <row r="2" spans="2: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7">
      <c r="B4" s="2" t="s">
        <v>18</v>
      </c>
      <c r="C4" s="2" t="s">
        <v>0</v>
      </c>
      <c r="D4" s="2" t="s">
        <v>17</v>
      </c>
      <c r="E4" s="2" t="s">
        <v>2</v>
      </c>
      <c r="F4" s="2" t="s">
        <v>1</v>
      </c>
      <c r="G4" s="41" t="s">
        <v>67</v>
      </c>
      <c r="H4" s="38" t="s">
        <v>63</v>
      </c>
      <c r="I4" s="2" t="s">
        <v>19</v>
      </c>
      <c r="J4" s="39" t="s">
        <v>65</v>
      </c>
      <c r="K4" s="40" t="s">
        <v>66</v>
      </c>
      <c r="L4" s="2" t="s">
        <v>64</v>
      </c>
      <c r="M4" s="2" t="s">
        <v>3</v>
      </c>
      <c r="N4" s="10" t="s">
        <v>20</v>
      </c>
      <c r="O4" s="10" t="s">
        <v>107</v>
      </c>
    </row>
    <row r="5" spans="2:15">
      <c r="B5" s="7">
        <f>données!$C$8</f>
        <v>0</v>
      </c>
      <c r="C5" s="7">
        <f>données!$E$3</f>
        <v>0</v>
      </c>
      <c r="D5" s="36">
        <f>données!$G$3</f>
        <v>0</v>
      </c>
      <c r="E5" s="7">
        <f>données!H$3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raidisseur!B42*D5/K5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56" t="e">
        <f>N5/2</f>
        <v>#DIV/0!</v>
      </c>
    </row>
    <row r="6" spans="2:15">
      <c r="B6" s="44"/>
      <c r="C6" s="44"/>
      <c r="D6" s="132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zoomScale="150" zoomScaleNormal="150" zoomScalePageLayoutView="150" workbookViewId="0">
      <selection activeCell="H48" sqref="H48:O62"/>
    </sheetView>
  </sheetViews>
  <sheetFormatPr baseColWidth="10" defaultRowHeight="14" x14ac:dyDescent="0"/>
  <cols>
    <col min="6" max="6" width="11.5" customWidth="1"/>
  </cols>
  <sheetData>
    <row r="2" spans="2:9" ht="17">
      <c r="B2" s="2" t="s">
        <v>0</v>
      </c>
      <c r="C2" s="2" t="s">
        <v>2</v>
      </c>
      <c r="D2" s="2" t="s">
        <v>17</v>
      </c>
      <c r="E2" s="40" t="s">
        <v>66</v>
      </c>
      <c r="F2" s="39" t="s">
        <v>65</v>
      </c>
      <c r="G2" s="2" t="s">
        <v>70</v>
      </c>
      <c r="H2" s="2" t="s">
        <v>29</v>
      </c>
      <c r="I2" s="8"/>
    </row>
    <row r="3" spans="2:9">
      <c r="B3" s="2">
        <f>données!E3</f>
        <v>0</v>
      </c>
      <c r="C3" s="7">
        <f>données!H3</f>
        <v>0</v>
      </c>
      <c r="D3" s="43">
        <f>données!G3</f>
        <v>0</v>
      </c>
      <c r="E3" s="11">
        <v>1</v>
      </c>
      <c r="F3" s="11" t="e">
        <f>MIN(D3,D3*(données!L3-données!$L$44)/données!$L$44)</f>
        <v>#DIV/0!</v>
      </c>
      <c r="G3" s="7" t="e">
        <f>données!L3-données!L44</f>
        <v>#DIV/0!</v>
      </c>
      <c r="H3" s="2" t="e">
        <f>G3/SIN(données!B3)-données!C20</f>
        <v>#DIV/0!</v>
      </c>
      <c r="I3" s="8"/>
    </row>
    <row r="4" spans="2:9">
      <c r="B4" s="8"/>
      <c r="C4" s="8"/>
      <c r="D4" s="8"/>
      <c r="E4" s="8"/>
      <c r="F4" s="8"/>
      <c r="G4" s="8"/>
      <c r="H4" s="8"/>
    </row>
    <row r="5" spans="2:9" ht="17">
      <c r="B5" s="2" t="s">
        <v>27</v>
      </c>
      <c r="C5" s="2" t="s">
        <v>28</v>
      </c>
      <c r="D5" s="2" t="s">
        <v>92</v>
      </c>
      <c r="E5" s="2" t="s">
        <v>93</v>
      </c>
      <c r="F5" s="8" t="s">
        <v>94</v>
      </c>
      <c r="G5" s="8"/>
      <c r="H5" s="8"/>
    </row>
    <row r="6" spans="2:9">
      <c r="B6" s="57" t="e">
        <f>0.95*B3*(C3/F3/E3)^0.5</f>
        <v>#DIV/0!</v>
      </c>
      <c r="C6" s="57" t="e">
        <f>B6</f>
        <v>#DIV/0!</v>
      </c>
      <c r="D6" s="7" t="e">
        <f>1.5*C6</f>
        <v>#DIV/0!</v>
      </c>
      <c r="E6" s="9" t="e">
        <f>C6+D6</f>
        <v>#DIV/0!</v>
      </c>
      <c r="F6" s="8"/>
      <c r="G6" s="60" t="s">
        <v>97</v>
      </c>
      <c r="H6" s="8"/>
    </row>
    <row r="7" spans="2:9">
      <c r="B7" s="8"/>
      <c r="C7" s="8"/>
      <c r="D7" s="8"/>
      <c r="E7" s="8"/>
      <c r="F7" s="8"/>
      <c r="G7" s="8"/>
      <c r="H7" s="8"/>
    </row>
    <row r="8" spans="2:9">
      <c r="B8" s="61" t="s">
        <v>8</v>
      </c>
      <c r="C8" s="62"/>
      <c r="D8" s="62"/>
      <c r="E8" s="62"/>
      <c r="F8" s="8"/>
      <c r="G8" s="8"/>
      <c r="H8" s="8"/>
    </row>
    <row r="9" spans="2:9">
      <c r="B9" s="8"/>
      <c r="C9" s="8"/>
      <c r="D9" s="8"/>
      <c r="E9" s="8"/>
      <c r="F9" s="8"/>
      <c r="G9" s="8"/>
      <c r="H9" s="8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topLeftCell="A34" zoomScale="150" zoomScaleNormal="150" zoomScalePageLayoutView="150" workbookViewId="0">
      <selection activeCell="H48" sqref="H48:O62"/>
    </sheetView>
  </sheetViews>
  <sheetFormatPr baseColWidth="10" defaultRowHeight="14" x14ac:dyDescent="0"/>
  <cols>
    <col min="2" max="2" width="11.5" bestFit="1" customWidth="1"/>
    <col min="3" max="3" width="7.6640625" bestFit="1" customWidth="1"/>
    <col min="4" max="4" width="8.33203125" bestFit="1" customWidth="1"/>
    <col min="5" max="5" width="11.1640625" customWidth="1"/>
    <col min="6" max="6" width="8.5" customWidth="1"/>
    <col min="7" max="7" width="10.33203125" bestFit="1" customWidth="1"/>
    <col min="8" max="8" width="7.5" bestFit="1" customWidth="1"/>
    <col min="11" max="11" width="14.83203125" bestFit="1" customWidth="1"/>
    <col min="12" max="12" width="17" customWidth="1"/>
    <col min="13" max="13" width="17" bestFit="1" customWidth="1"/>
    <col min="14" max="15" width="14.83203125" bestFit="1" customWidth="1"/>
    <col min="16" max="16" width="16.1640625" bestFit="1" customWidth="1"/>
    <col min="17" max="17" width="17" bestFit="1" customWidth="1"/>
    <col min="18" max="18" width="14.83203125" bestFit="1" customWidth="1"/>
  </cols>
  <sheetData>
    <row r="2" spans="1:18" ht="17">
      <c r="B2" s="2" t="s">
        <v>21</v>
      </c>
      <c r="C2" s="2" t="s">
        <v>18</v>
      </c>
      <c r="D2" s="2" t="s">
        <v>0</v>
      </c>
      <c r="E2" s="2" t="s">
        <v>2</v>
      </c>
      <c r="F2" s="8"/>
      <c r="G2" s="8"/>
      <c r="H2" s="8"/>
      <c r="I2" s="8"/>
    </row>
    <row r="3" spans="1:18">
      <c r="B3" s="7">
        <f>(données!C30+données!C31+données!C32+données!C33/2)*2</f>
        <v>0</v>
      </c>
      <c r="C3" s="7">
        <f>largeur_eff_semelle!B5</f>
        <v>0</v>
      </c>
      <c r="D3" s="2">
        <f>données!E3</f>
        <v>0</v>
      </c>
      <c r="E3" s="7">
        <f>données!H3</f>
        <v>0</v>
      </c>
      <c r="F3" s="8"/>
      <c r="G3" s="8"/>
      <c r="H3" s="8"/>
      <c r="I3" s="8"/>
    </row>
    <row r="4" spans="1:18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7">
      <c r="B5" s="13" t="s">
        <v>5</v>
      </c>
      <c r="C5" s="13" t="s">
        <v>39</v>
      </c>
      <c r="D5" s="13" t="s">
        <v>42</v>
      </c>
      <c r="E5" s="13" t="s">
        <v>40</v>
      </c>
      <c r="F5" s="13" t="s">
        <v>43</v>
      </c>
      <c r="G5" s="13" t="s">
        <v>41</v>
      </c>
      <c r="H5" s="13" t="s">
        <v>7</v>
      </c>
      <c r="I5" s="13" t="s">
        <v>44</v>
      </c>
      <c r="J5" s="8"/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13" t="s">
        <v>36</v>
      </c>
      <c r="R5" s="13"/>
    </row>
    <row r="6" spans="1:18" ht="17">
      <c r="A6" s="4"/>
      <c r="B6" s="13" t="s">
        <v>68</v>
      </c>
      <c r="C6" s="14">
        <f>15*D3-données!I19</f>
        <v>0</v>
      </c>
      <c r="D6" s="14">
        <f>C6*$D$3</f>
        <v>0</v>
      </c>
      <c r="E6" s="14">
        <v>0</v>
      </c>
      <c r="F6" s="14">
        <f>D6*E6</f>
        <v>0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12" t="e">
        <f>15*D$3*H$6^3/12+15*D$3*D$3*G$6^2</f>
        <v>#DIV/0!</v>
      </c>
      <c r="K6" s="2" t="s">
        <v>37</v>
      </c>
      <c r="L6" s="2"/>
      <c r="M6" s="2" t="s">
        <v>38</v>
      </c>
      <c r="N6" s="2"/>
      <c r="O6" s="2" t="s">
        <v>82</v>
      </c>
      <c r="P6" s="2"/>
      <c r="Q6" s="2" t="s">
        <v>83</v>
      </c>
      <c r="R6" s="2"/>
    </row>
    <row r="7" spans="1:18">
      <c r="A7" s="4"/>
      <c r="B7" s="13">
        <v>2</v>
      </c>
      <c r="C7" s="14">
        <f>données!C33</f>
        <v>0</v>
      </c>
      <c r="D7" s="14">
        <f t="shared" ref="D7:D15" si="0">C7*$D$3</f>
        <v>0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>
      <c r="A8" s="4"/>
      <c r="B8" s="13">
        <v>3</v>
      </c>
      <c r="C8" s="14">
        <f>données!C32</f>
        <v>0</v>
      </c>
      <c r="D8" s="14">
        <f t="shared" si="0"/>
        <v>0</v>
      </c>
      <c r="E8" s="42">
        <f>données!N3/2</f>
        <v>0</v>
      </c>
      <c r="F8" s="14">
        <f t="shared" si="1"/>
        <v>0</v>
      </c>
      <c r="G8" s="15" t="e">
        <f t="shared" si="2"/>
        <v>#DIV/0!</v>
      </c>
      <c r="H8" s="15">
        <f>données!M32</f>
        <v>0</v>
      </c>
      <c r="I8" s="7" t="e">
        <f>D8*H8^2/12+D8*G8^2</f>
        <v>#DIV/0!</v>
      </c>
      <c r="J8" s="8"/>
      <c r="K8" s="8"/>
      <c r="L8" s="8"/>
    </row>
    <row r="9" spans="1:18">
      <c r="A9" s="4"/>
      <c r="B9" s="13">
        <v>4</v>
      </c>
      <c r="C9" s="14">
        <f>données!C31</f>
        <v>0</v>
      </c>
      <c r="D9" s="14">
        <f t="shared" si="0"/>
        <v>0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>
      <c r="A10" s="4"/>
      <c r="B10" s="13">
        <v>5</v>
      </c>
      <c r="C10" s="14">
        <f>données!C30</f>
        <v>0</v>
      </c>
      <c r="D10" s="14">
        <f t="shared" si="0"/>
        <v>0</v>
      </c>
      <c r="E10" s="42">
        <f>données!N3</f>
        <v>0</v>
      </c>
      <c r="F10" s="14">
        <f t="shared" si="1"/>
        <v>0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14</v>
      </c>
      <c r="L10" s="8" t="e">
        <f>F16/#REF!</f>
        <v>#DIV/0!</v>
      </c>
    </row>
    <row r="11" spans="1:18">
      <c r="A11" s="4"/>
      <c r="B11" s="13">
        <v>6</v>
      </c>
      <c r="C11" s="14">
        <f>C10</f>
        <v>0</v>
      </c>
      <c r="D11" s="14">
        <f t="shared" si="0"/>
        <v>0</v>
      </c>
      <c r="E11" s="16">
        <f>E10</f>
        <v>0</v>
      </c>
      <c r="F11" s="14">
        <f t="shared" si="1"/>
        <v>0</v>
      </c>
      <c r="G11" s="15" t="e">
        <f t="shared" si="2"/>
        <v>#DIV/0!</v>
      </c>
      <c r="H11" s="15">
        <f>H10</f>
        <v>0</v>
      </c>
      <c r="I11" s="54" t="e">
        <f>I10</f>
        <v>#DIV/0!</v>
      </c>
      <c r="J11" s="8"/>
    </row>
    <row r="12" spans="1:18">
      <c r="A12" s="4"/>
      <c r="B12" s="13">
        <v>7</v>
      </c>
      <c r="C12" s="14">
        <f>C9</f>
        <v>0</v>
      </c>
      <c r="D12" s="14">
        <f t="shared" si="0"/>
        <v>0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99" t="e">
        <f>I9</f>
        <v>#DIV/0!</v>
      </c>
      <c r="J12" s="8"/>
    </row>
    <row r="13" spans="1:18">
      <c r="A13" s="4"/>
      <c r="B13" s="13">
        <v>8</v>
      </c>
      <c r="C13" s="14">
        <f>C8</f>
        <v>0</v>
      </c>
      <c r="D13" s="14">
        <f t="shared" si="0"/>
        <v>0</v>
      </c>
      <c r="E13" s="14">
        <f>E8</f>
        <v>0</v>
      </c>
      <c r="F13" s="14">
        <f t="shared" si="1"/>
        <v>0</v>
      </c>
      <c r="G13" s="15" t="e">
        <f t="shared" si="2"/>
        <v>#DIV/0!</v>
      </c>
      <c r="H13" s="14">
        <f>H8</f>
        <v>0</v>
      </c>
      <c r="I13" s="100" t="e">
        <f>I8</f>
        <v>#DIV/0!</v>
      </c>
      <c r="J13" s="8"/>
    </row>
    <row r="14" spans="1:18">
      <c r="A14" s="4"/>
      <c r="B14" s="13">
        <v>9</v>
      </c>
      <c r="C14" s="14">
        <f>C7</f>
        <v>0</v>
      </c>
      <c r="D14" s="14">
        <f t="shared" si="0"/>
        <v>0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01" t="e">
        <f>I7</f>
        <v>#DIV/0!</v>
      </c>
      <c r="J14" s="8"/>
    </row>
    <row r="15" spans="1:18">
      <c r="B15" s="13" t="s">
        <v>69</v>
      </c>
      <c r="C15" s="14">
        <f>15*D3-données!I19</f>
        <v>0</v>
      </c>
      <c r="D15" s="14">
        <f t="shared" si="0"/>
        <v>0</v>
      </c>
      <c r="E15" s="14">
        <v>0</v>
      </c>
      <c r="F15" s="14">
        <f t="shared" si="1"/>
        <v>0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>
      <c r="B16" s="25" t="s">
        <v>6</v>
      </c>
      <c r="C16" s="16"/>
      <c r="D16" s="26">
        <f>SUM(D6:D15)</f>
        <v>0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>
      <c r="B17" s="18"/>
      <c r="C17" s="18"/>
      <c r="D17" s="18"/>
      <c r="E17" s="18"/>
      <c r="F17" s="18"/>
      <c r="G17" s="18"/>
      <c r="H17" s="19"/>
      <c r="I17" s="19"/>
      <c r="J17" s="19"/>
      <c r="K17" s="8"/>
      <c r="L17" s="8"/>
    </row>
    <row r="18" spans="1:18" ht="17">
      <c r="B18" s="13" t="s">
        <v>5</v>
      </c>
      <c r="C18" s="13" t="s">
        <v>39</v>
      </c>
      <c r="D18" s="13" t="s">
        <v>42</v>
      </c>
      <c r="E18" s="13"/>
      <c r="F18" s="13"/>
      <c r="G18" s="13"/>
      <c r="H18" s="13"/>
      <c r="I18" s="13"/>
      <c r="J18" s="8"/>
      <c r="K18" s="13" t="s">
        <v>30</v>
      </c>
      <c r="L18" s="13" t="s">
        <v>31</v>
      </c>
      <c r="M18" s="13" t="s">
        <v>32</v>
      </c>
      <c r="N18" s="13" t="s">
        <v>33</v>
      </c>
      <c r="O18" s="13" t="s">
        <v>34</v>
      </c>
      <c r="P18" s="13" t="s">
        <v>35</v>
      </c>
      <c r="Q18" s="13" t="s">
        <v>36</v>
      </c>
      <c r="R18" s="13"/>
    </row>
    <row r="19" spans="1:18" ht="17">
      <c r="A19" s="4"/>
      <c r="B19" s="13" t="s">
        <v>68</v>
      </c>
      <c r="C19" s="14" t="e">
        <f>'largeur_eff_semelle bis'!O5-données!I19</f>
        <v>#DIV/0!</v>
      </c>
      <c r="D19" s="14" t="e">
        <f>C19*$D$3</f>
        <v>#DIV/0!</v>
      </c>
      <c r="E19" s="14"/>
      <c r="F19" s="14"/>
      <c r="G19" s="15"/>
      <c r="H19" s="15"/>
      <c r="I19" s="7"/>
      <c r="J19" s="12" t="e">
        <f>15*D$3*H$6^3/12+15*D$3*D$3*G$6^2</f>
        <v>#DIV/0!</v>
      </c>
      <c r="K19" s="2" t="s">
        <v>37</v>
      </c>
      <c r="L19" s="2"/>
      <c r="M19" s="2" t="s">
        <v>38</v>
      </c>
      <c r="N19" s="2"/>
      <c r="O19" s="2" t="s">
        <v>82</v>
      </c>
      <c r="P19" s="2"/>
      <c r="Q19" s="2" t="s">
        <v>83</v>
      </c>
      <c r="R19" s="2"/>
    </row>
    <row r="20" spans="1:18">
      <c r="A20" s="4"/>
      <c r="B20" s="13">
        <v>2</v>
      </c>
      <c r="C20" s="14">
        <f>C7</f>
        <v>0</v>
      </c>
      <c r="D20" s="14">
        <f t="shared" ref="D20:D28" si="3">C20*$D$3</f>
        <v>0</v>
      </c>
      <c r="E20" s="14"/>
      <c r="F20" s="14"/>
      <c r="G20" s="15"/>
      <c r="H20" s="15"/>
      <c r="I20" s="6"/>
      <c r="J20" s="8"/>
      <c r="K20" s="8"/>
      <c r="L20" s="8"/>
    </row>
    <row r="21" spans="1:18">
      <c r="A21" s="4"/>
      <c r="B21" s="13">
        <v>3</v>
      </c>
      <c r="C21" s="14">
        <f t="shared" ref="C21:C27" si="4">C8</f>
        <v>0</v>
      </c>
      <c r="D21" s="14">
        <f t="shared" si="3"/>
        <v>0</v>
      </c>
      <c r="E21" s="42"/>
      <c r="F21" s="14"/>
      <c r="G21" s="15"/>
      <c r="H21" s="15"/>
      <c r="I21" s="7"/>
      <c r="J21" s="8"/>
      <c r="K21" s="8"/>
      <c r="L21" s="8"/>
    </row>
    <row r="22" spans="1:18">
      <c r="A22" s="4"/>
      <c r="B22" s="13">
        <v>4</v>
      </c>
      <c r="C22" s="14">
        <f t="shared" si="4"/>
        <v>0</v>
      </c>
      <c r="D22" s="14">
        <f t="shared" si="3"/>
        <v>0</v>
      </c>
      <c r="E22" s="16"/>
      <c r="F22" s="14"/>
      <c r="G22" s="15"/>
      <c r="H22" s="15"/>
      <c r="I22" s="6"/>
      <c r="J22" s="8"/>
      <c r="K22" s="8"/>
      <c r="L22" s="8"/>
    </row>
    <row r="23" spans="1:18">
      <c r="A23" s="4"/>
      <c r="B23" s="13">
        <v>5</v>
      </c>
      <c r="C23" s="14">
        <f t="shared" si="4"/>
        <v>0</v>
      </c>
      <c r="D23" s="14">
        <f t="shared" si="3"/>
        <v>0</v>
      </c>
      <c r="E23" s="42"/>
      <c r="F23" s="14"/>
      <c r="G23" s="15"/>
      <c r="H23" s="15"/>
      <c r="I23" s="7"/>
      <c r="J23" s="8"/>
      <c r="K23" s="8" t="s">
        <v>14</v>
      </c>
      <c r="L23" s="8" t="e">
        <f>F29/#REF!</f>
        <v>#REF!</v>
      </c>
    </row>
    <row r="24" spans="1:18">
      <c r="A24" s="4"/>
      <c r="B24" s="13">
        <v>6</v>
      </c>
      <c r="C24" s="14">
        <f t="shared" si="4"/>
        <v>0</v>
      </c>
      <c r="D24" s="14">
        <f t="shared" si="3"/>
        <v>0</v>
      </c>
      <c r="E24" s="16"/>
      <c r="F24" s="14"/>
      <c r="G24" s="15"/>
      <c r="H24" s="15"/>
      <c r="I24" s="54"/>
      <c r="J24" s="8"/>
    </row>
    <row r="25" spans="1:18">
      <c r="A25" s="4"/>
      <c r="B25" s="13">
        <v>7</v>
      </c>
      <c r="C25" s="14">
        <f t="shared" si="4"/>
        <v>0</v>
      </c>
      <c r="D25" s="14">
        <f t="shared" si="3"/>
        <v>0</v>
      </c>
      <c r="E25" s="14"/>
      <c r="F25" s="14"/>
      <c r="G25" s="15"/>
      <c r="H25" s="14"/>
      <c r="I25" s="99"/>
      <c r="J25" s="8"/>
    </row>
    <row r="26" spans="1:18">
      <c r="A26" s="4"/>
      <c r="B26" s="13">
        <v>8</v>
      </c>
      <c r="C26" s="14">
        <f t="shared" si="4"/>
        <v>0</v>
      </c>
      <c r="D26" s="14">
        <f t="shared" si="3"/>
        <v>0</v>
      </c>
      <c r="E26" s="14"/>
      <c r="F26" s="14"/>
      <c r="G26" s="15"/>
      <c r="H26" s="14"/>
      <c r="I26" s="100"/>
      <c r="J26" s="8"/>
    </row>
    <row r="27" spans="1:18">
      <c r="A27" s="4"/>
      <c r="B27" s="13">
        <v>9</v>
      </c>
      <c r="C27" s="14">
        <f t="shared" si="4"/>
        <v>0</v>
      </c>
      <c r="D27" s="14">
        <f t="shared" si="3"/>
        <v>0</v>
      </c>
      <c r="E27" s="14"/>
      <c r="F27" s="14"/>
      <c r="G27" s="15"/>
      <c r="H27" s="14"/>
      <c r="I27" s="101"/>
      <c r="J27" s="8"/>
    </row>
    <row r="28" spans="1:18">
      <c r="B28" s="13" t="s">
        <v>69</v>
      </c>
      <c r="C28" s="14" t="e">
        <f>'largeur_eff_semelle bis'!O5-données!I19</f>
        <v>#DIV/0!</v>
      </c>
      <c r="D28" s="14" t="e">
        <f t="shared" si="3"/>
        <v>#DIV/0!</v>
      </c>
      <c r="E28" s="14"/>
      <c r="F28" s="14"/>
      <c r="G28" s="15"/>
      <c r="H28" s="15"/>
      <c r="I28" s="7"/>
      <c r="J28" s="8"/>
    </row>
    <row r="29" spans="1:18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>
      <c r="B30" s="18"/>
      <c r="C30" s="18"/>
      <c r="D30" s="18"/>
      <c r="E30" s="18"/>
      <c r="F30" s="18"/>
      <c r="G30" s="18"/>
      <c r="H30" s="19"/>
      <c r="I30" s="19"/>
      <c r="J30" s="19"/>
      <c r="K30" s="8"/>
      <c r="L30" s="8"/>
    </row>
    <row r="31" spans="1:18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7">
      <c r="B32" s="2" t="s">
        <v>91</v>
      </c>
      <c r="C32" s="2"/>
      <c r="D32" s="2" t="s">
        <v>22</v>
      </c>
      <c r="E32" s="2" t="s">
        <v>23</v>
      </c>
      <c r="F32" s="2" t="s">
        <v>24</v>
      </c>
      <c r="G32" s="2" t="s">
        <v>25</v>
      </c>
      <c r="H32" s="2" t="s">
        <v>87</v>
      </c>
      <c r="I32" s="2" t="s">
        <v>26</v>
      </c>
      <c r="J32" s="8"/>
      <c r="K32" s="8"/>
      <c r="L32" s="8"/>
    </row>
    <row r="33" spans="2:12">
      <c r="B33" s="7">
        <f>2*C3+B3</f>
        <v>0</v>
      </c>
      <c r="C33" s="7"/>
      <c r="D33" s="7">
        <f>data!J6</f>
        <v>0</v>
      </c>
      <c r="E33" s="7">
        <f>données!M3</f>
        <v>0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58" t="e">
        <f>IF(G33&gt;2,H33,(H33-(H33-1)*(2*F33/E33-(F33/E33)^2)))</f>
        <v>#DIV/0!</v>
      </c>
      <c r="J33" s="8"/>
      <c r="K33" s="8"/>
      <c r="L33" s="8"/>
    </row>
    <row r="34" spans="2:1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7">
      <c r="B35" s="2" t="s">
        <v>45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7">
      <c r="B38" s="2" t="s">
        <v>17</v>
      </c>
      <c r="C38" s="2" t="s">
        <v>9</v>
      </c>
      <c r="D38" s="2" t="s">
        <v>88</v>
      </c>
      <c r="E38" s="2" t="s">
        <v>89</v>
      </c>
    </row>
    <row r="39" spans="2:12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7">
      <c r="B41" s="7" t="s">
        <v>10</v>
      </c>
      <c r="C41" s="13" t="s">
        <v>51</v>
      </c>
      <c r="E41" s="2" t="s">
        <v>109</v>
      </c>
    </row>
    <row r="42" spans="2:12">
      <c r="B42" s="59" t="e">
        <f>E39</f>
        <v>#DIV/0!</v>
      </c>
      <c r="C42" s="14" t="e">
        <f>B42*données!E3*B39/'largeur_eff_semelle bis'!K5/largeur_eff_semelle!J5</f>
        <v>#DIV/0!</v>
      </c>
      <c r="E42" s="65" t="e">
        <f>B39/largeur_eff_semelle!K5/largeur_eff_semelle!J5</f>
        <v>#DIV/0!</v>
      </c>
      <c r="G42" s="65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topLeftCell="A36" zoomScale="150" zoomScaleNormal="150" zoomScalePageLayoutView="150" workbookViewId="0">
      <selection activeCell="H48" sqref="H48:O62"/>
    </sheetView>
  </sheetViews>
  <sheetFormatPr baseColWidth="10" defaultRowHeight="14" x14ac:dyDescent="0"/>
  <cols>
    <col min="2" max="2" width="11.5" bestFit="1" customWidth="1"/>
  </cols>
  <sheetData>
    <row r="2" spans="1:11" ht="17">
      <c r="B2" s="2" t="s">
        <v>0</v>
      </c>
      <c r="C2" s="2" t="s">
        <v>2</v>
      </c>
      <c r="D2" s="2" t="s">
        <v>17</v>
      </c>
      <c r="E2" s="8"/>
      <c r="F2" s="8"/>
      <c r="G2" s="8"/>
      <c r="H2" s="8"/>
      <c r="I2" s="8"/>
      <c r="J2" s="8"/>
      <c r="K2" s="8"/>
    </row>
    <row r="3" spans="1:11">
      <c r="B3" s="2">
        <f>données!E3</f>
        <v>0</v>
      </c>
      <c r="C3" s="7">
        <f>données!H3</f>
        <v>0</v>
      </c>
      <c r="D3" s="6">
        <f>données!G3</f>
        <v>0</v>
      </c>
      <c r="E3" s="8"/>
      <c r="F3" s="8"/>
      <c r="G3" s="8"/>
      <c r="H3" s="8"/>
      <c r="I3" s="8"/>
      <c r="J3" s="8"/>
      <c r="K3" s="8"/>
    </row>
    <row r="4" spans="1:11"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7">
      <c r="B5" s="63" t="s">
        <v>74</v>
      </c>
      <c r="C5" s="63" t="s">
        <v>73</v>
      </c>
      <c r="D5" s="63" t="s">
        <v>71</v>
      </c>
      <c r="E5" s="63" t="s">
        <v>72</v>
      </c>
      <c r="F5" s="63" t="s">
        <v>73</v>
      </c>
      <c r="G5" s="8" t="s">
        <v>90</v>
      </c>
      <c r="H5" s="8"/>
      <c r="I5" s="8"/>
      <c r="J5" s="8"/>
      <c r="K5" s="8"/>
    </row>
    <row r="6" spans="1:11">
      <c r="B6" s="64" t="e">
        <f>0.76*B3*(C3/D3)^0.5</f>
        <v>#DIV/0!</v>
      </c>
      <c r="C6" s="64" t="e">
        <f>B6</f>
        <v>#DIV/0!</v>
      </c>
      <c r="D6" s="64" t="e">
        <f>largeur_eff_ame!#REF!</f>
        <v>#REF!</v>
      </c>
      <c r="E6" s="63" t="e">
        <f>largeur_eff_ame!#REF!</f>
        <v>#REF!</v>
      </c>
      <c r="F6" s="63"/>
      <c r="G6" s="8"/>
      <c r="H6" s="8"/>
      <c r="I6" s="8"/>
      <c r="J6" s="8"/>
      <c r="K6" s="8"/>
    </row>
    <row r="7" spans="1:11"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>
      <c r="B8" s="20" t="s">
        <v>8</v>
      </c>
      <c r="C8" s="8"/>
      <c r="D8" s="8"/>
      <c r="E8" s="8"/>
      <c r="F8" s="8"/>
      <c r="G8" s="8"/>
      <c r="H8" s="8"/>
      <c r="I8" s="8"/>
      <c r="J8" s="8"/>
      <c r="K8" s="8"/>
    </row>
    <row r="9" spans="1:11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7">
      <c r="B10" s="13" t="s">
        <v>5</v>
      </c>
      <c r="C10" s="13" t="s">
        <v>39</v>
      </c>
      <c r="D10" s="13" t="s">
        <v>46</v>
      </c>
      <c r="E10" s="13" t="s">
        <v>42</v>
      </c>
      <c r="F10" s="13" t="s">
        <v>40</v>
      </c>
      <c r="G10" s="13" t="s">
        <v>43</v>
      </c>
      <c r="H10" s="13" t="s">
        <v>41</v>
      </c>
      <c r="I10" s="21" t="s">
        <v>7</v>
      </c>
      <c r="J10" s="13" t="s">
        <v>44</v>
      </c>
      <c r="K10" s="22" t="s">
        <v>11</v>
      </c>
    </row>
    <row r="11" spans="1:11">
      <c r="B11" s="13">
        <v>0</v>
      </c>
      <c r="C11" s="13">
        <f>données!Q4</f>
        <v>0</v>
      </c>
      <c r="D11" s="110" t="e">
        <f>raidisseur!C$42</f>
        <v>#DIV/0!</v>
      </c>
      <c r="E11" s="105" t="e">
        <f>C11*D11</f>
        <v>#DIV/0!</v>
      </c>
      <c r="F11" s="14">
        <f>données!J30+données!R5</f>
        <v>0</v>
      </c>
      <c r="G11" s="14" t="e">
        <f>E11*F11</f>
        <v>#DIV/0!</v>
      </c>
      <c r="H11" s="7" t="e">
        <f t="shared" ref="H11:H27" si="0">$H$28-F11</f>
        <v>#DIV/0!</v>
      </c>
      <c r="I11" s="28">
        <f>données!M30</f>
        <v>0</v>
      </c>
      <c r="J11" s="7" t="e">
        <f t="shared" ref="J11" si="1">E11*I11^2/12+E11*H11^2</f>
        <v>#DIV/0!</v>
      </c>
      <c r="K11" s="27"/>
    </row>
    <row r="12" spans="1:11">
      <c r="A12" s="78">
        <f>C12*B$3</f>
        <v>0</v>
      </c>
      <c r="B12" s="13">
        <v>1</v>
      </c>
      <c r="C12" s="14">
        <f>données!C30-C11</f>
        <v>0</v>
      </c>
      <c r="D12" s="110" t="e">
        <f>raidisseur!C$42</f>
        <v>#DIV/0!</v>
      </c>
      <c r="E12" s="105" t="e">
        <f t="shared" ref="E12:E16" si="2">C12*D12</f>
        <v>#DIV/0!</v>
      </c>
      <c r="F12" s="14">
        <f>données!J30</f>
        <v>0</v>
      </c>
      <c r="G12" s="14" t="e">
        <f>E12*F12</f>
        <v>#DIV/0!</v>
      </c>
      <c r="H12" s="7" t="e">
        <f t="shared" si="0"/>
        <v>#DIV/0!</v>
      </c>
      <c r="I12" s="28">
        <f>données!M30</f>
        <v>0</v>
      </c>
      <c r="J12" s="7" t="e">
        <f t="shared" ref="J12" si="3">E12*I12^2/12+E12*H12^2</f>
        <v>#DIV/0!</v>
      </c>
      <c r="K12" s="27"/>
    </row>
    <row r="13" spans="1:11">
      <c r="A13" s="78">
        <f t="shared" ref="A13:A16" si="4">C13*B$3</f>
        <v>0</v>
      </c>
      <c r="B13" s="13">
        <v>2</v>
      </c>
      <c r="C13" s="14">
        <f>données!C31</f>
        <v>0</v>
      </c>
      <c r="D13" s="110" t="e">
        <f>raidisseur!C$42</f>
        <v>#DIV/0!</v>
      </c>
      <c r="E13" s="105" t="e">
        <f t="shared" si="2"/>
        <v>#DIV/0!</v>
      </c>
      <c r="F13" s="14" t="e">
        <f>données!J31</f>
        <v>#DIV/0!</v>
      </c>
      <c r="G13" s="14" t="e">
        <f t="shared" ref="G13:G27" si="5">E13*F13</f>
        <v>#DIV/0!</v>
      </c>
      <c r="H13" s="7" t="e">
        <f t="shared" si="0"/>
        <v>#DIV/0!</v>
      </c>
      <c r="I13" s="28">
        <f>données!M31</f>
        <v>0</v>
      </c>
      <c r="J13" s="6" t="e">
        <f>D13*(données!$P$3^3*((données!$I$17+SIN(données!$I$17)*COS(données!$I$17))/2-SIN(données!$I$17)^2/données!$I$17))+E13*H13^2</f>
        <v>#DIV/0!</v>
      </c>
      <c r="K13" s="8"/>
    </row>
    <row r="14" spans="1:11">
      <c r="A14" s="78">
        <f t="shared" si="4"/>
        <v>0</v>
      </c>
      <c r="B14" s="13">
        <v>3</v>
      </c>
      <c r="C14" s="14">
        <f>données!C32</f>
        <v>0</v>
      </c>
      <c r="D14" s="110" t="e">
        <f>raidisseur!C$42</f>
        <v>#DIV/0!</v>
      </c>
      <c r="E14" s="105" t="e">
        <f t="shared" si="2"/>
        <v>#DIV/0!</v>
      </c>
      <c r="F14" s="14">
        <f>données!J32</f>
        <v>0</v>
      </c>
      <c r="G14" s="14" t="e">
        <f t="shared" si="5"/>
        <v>#DIV/0!</v>
      </c>
      <c r="H14" s="7" t="e">
        <f t="shared" si="0"/>
        <v>#DIV/0!</v>
      </c>
      <c r="I14" s="28">
        <f>données!M32</f>
        <v>0</v>
      </c>
      <c r="J14" s="7" t="e">
        <f t="shared" ref="J14" si="6">E14*I14^2/12+E14*H14^2</f>
        <v>#DIV/0!</v>
      </c>
      <c r="K14" s="8"/>
    </row>
    <row r="15" spans="1:11">
      <c r="A15" s="78">
        <f t="shared" si="4"/>
        <v>0</v>
      </c>
      <c r="B15" s="13">
        <v>4</v>
      </c>
      <c r="C15" s="14">
        <f>données!C33</f>
        <v>0</v>
      </c>
      <c r="D15" s="110" t="e">
        <f>raidisseur!C$42</f>
        <v>#DIV/0!</v>
      </c>
      <c r="E15" s="105" t="e">
        <f t="shared" si="2"/>
        <v>#DIV/0!</v>
      </c>
      <c r="F15" s="14" t="e">
        <f>données!J33</f>
        <v>#DIV/0!</v>
      </c>
      <c r="G15" s="14" t="e">
        <f t="shared" si="5"/>
        <v>#DIV/0!</v>
      </c>
      <c r="H15" s="7" t="e">
        <f t="shared" si="0"/>
        <v>#DIV/0!</v>
      </c>
      <c r="I15" s="28">
        <f>données!M33</f>
        <v>0</v>
      </c>
      <c r="J15" s="6" t="e">
        <f>D15*(données!$P$3^3*((données!$I$17+SIN(données!$I$17)*COS(données!$I$17))/2-SIN(données!$I$17)^2/données!$I$17))+E15*H15^2</f>
        <v>#DIV/0!</v>
      </c>
      <c r="K15" s="8"/>
    </row>
    <row r="16" spans="1:11">
      <c r="A16" s="78" t="e">
        <f t="shared" si="4"/>
        <v>#DIV/0!</v>
      </c>
      <c r="B16" s="13">
        <v>51</v>
      </c>
      <c r="C16" s="14" t="e">
        <f>largeur_eff_semelle!O5-données!I19</f>
        <v>#DIV/0!</v>
      </c>
      <c r="D16" s="110" t="e">
        <f>raidisseur!C$42</f>
        <v>#DIV/0!</v>
      </c>
      <c r="E16" s="105" t="e">
        <f t="shared" si="2"/>
        <v>#DIV/0!</v>
      </c>
      <c r="F16" s="14">
        <f>données!J34</f>
        <v>0</v>
      </c>
      <c r="G16" s="14" t="e">
        <f t="shared" si="5"/>
        <v>#DIV/0!</v>
      </c>
      <c r="H16" s="7" t="e">
        <f t="shared" si="0"/>
        <v>#DIV/0!</v>
      </c>
      <c r="I16" s="28">
        <f>données!M34</f>
        <v>0</v>
      </c>
      <c r="J16" s="7" t="e">
        <f t="shared" ref="J16" si="7">E16*I16^2/12+E16*H16^2</f>
        <v>#DIV/0!</v>
      </c>
      <c r="K16" s="8"/>
    </row>
    <row r="17" spans="1:11">
      <c r="A17" s="78"/>
      <c r="B17" s="13">
        <v>52</v>
      </c>
      <c r="C17" s="133" t="e">
        <f>(largeur_eff_semelle!O5-données!C21)</f>
        <v>#DIV/0!</v>
      </c>
      <c r="D17" s="23">
        <f>$B$3</f>
        <v>0</v>
      </c>
      <c r="E17" s="14" t="e">
        <f t="shared" ref="E17:E27" si="8">C17*D17</f>
        <v>#DIV/0!</v>
      </c>
      <c r="F17" s="14">
        <f>données!J34</f>
        <v>0</v>
      </c>
      <c r="G17" s="14" t="e">
        <f t="shared" si="5"/>
        <v>#DIV/0!</v>
      </c>
      <c r="H17" s="7" t="e">
        <f t="shared" si="0"/>
        <v>#DIV/0!</v>
      </c>
      <c r="I17" s="28">
        <f>données!M34</f>
        <v>0</v>
      </c>
      <c r="J17" s="7" t="e">
        <f t="shared" ref="J17" si="9">E17*I17^2/12+E17*H17^2</f>
        <v>#DIV/0!</v>
      </c>
      <c r="K17" s="8"/>
    </row>
    <row r="18" spans="1:11">
      <c r="A18" s="78"/>
      <c r="B18" s="13">
        <v>6</v>
      </c>
      <c r="C18" s="14">
        <f>données!C35</f>
        <v>0</v>
      </c>
      <c r="D18" s="23">
        <f t="shared" ref="D18" si="10">$B$3</f>
        <v>0</v>
      </c>
      <c r="E18" s="14">
        <f t="shared" si="8"/>
        <v>0</v>
      </c>
      <c r="F18" s="14" t="e">
        <f>données!J35</f>
        <v>#DIV/0!</v>
      </c>
      <c r="G18" s="14" t="e">
        <f t="shared" si="5"/>
        <v>#DIV/0!</v>
      </c>
      <c r="H18" s="7" t="e">
        <f t="shared" si="0"/>
        <v>#DIV/0!</v>
      </c>
      <c r="I18" s="28">
        <f>données!M35</f>
        <v>0</v>
      </c>
      <c r="J18" s="6" t="e">
        <f>D18*données!J$3^3*((données!B$3+SIN(données!B$3)*COS(données!B$3))/2-SIN(données!B$3)^2/données!B$3)+E18*H18^2</f>
        <v>#DIV/0!</v>
      </c>
      <c r="K18" s="8"/>
    </row>
    <row r="19" spans="1:11">
      <c r="A19" s="78"/>
      <c r="B19" s="13">
        <v>7</v>
      </c>
      <c r="C19" s="14">
        <f>données!C36</f>
        <v>0</v>
      </c>
      <c r="D19" s="81">
        <f>$B$3</f>
        <v>0</v>
      </c>
      <c r="E19" s="14">
        <f t="shared" si="8"/>
        <v>0</v>
      </c>
      <c r="F19" s="14">
        <f>données!J36</f>
        <v>0</v>
      </c>
      <c r="G19" s="14">
        <f t="shared" si="5"/>
        <v>0</v>
      </c>
      <c r="H19" s="7" t="e">
        <f t="shared" si="0"/>
        <v>#DIV/0!</v>
      </c>
      <c r="I19" s="28">
        <f>données!M36</f>
        <v>0</v>
      </c>
      <c r="J19" s="7" t="e">
        <f>E19*I19^2/12+E19*H19^2</f>
        <v>#DIV/0!</v>
      </c>
      <c r="K19" s="8"/>
    </row>
    <row r="20" spans="1:11">
      <c r="A20" s="78"/>
      <c r="B20" s="13" t="s">
        <v>117</v>
      </c>
      <c r="C20" s="14">
        <f>-données!$Q$3</f>
        <v>-14.125</v>
      </c>
      <c r="D20" s="81">
        <f t="shared" ref="D20" si="11">$B$3</f>
        <v>0</v>
      </c>
      <c r="E20" s="14">
        <f t="shared" si="8"/>
        <v>0</v>
      </c>
      <c r="F20" s="14">
        <f>données!$S$3</f>
        <v>-28.625</v>
      </c>
      <c r="G20" s="14">
        <f t="shared" si="5"/>
        <v>0</v>
      </c>
      <c r="H20" s="7" t="e">
        <f t="shared" si="0"/>
        <v>#DIV/0!</v>
      </c>
      <c r="I20" s="111">
        <f>-C20*SIN(données!$B$3)</f>
        <v>0</v>
      </c>
      <c r="J20" s="7" t="e">
        <f t="shared" ref="J20:J21" si="12">E20*I20^2/12+E20*H20^2</f>
        <v>#DIV/0!</v>
      </c>
      <c r="K20" s="8"/>
    </row>
    <row r="21" spans="1:11">
      <c r="A21" s="78"/>
      <c r="B21" s="13" t="s">
        <v>117</v>
      </c>
      <c r="C21" s="14">
        <f>données!$Q$3</f>
        <v>14.125</v>
      </c>
      <c r="D21" s="81">
        <f>$B$3*données!P4</f>
        <v>0</v>
      </c>
      <c r="E21" s="14">
        <f t="shared" si="8"/>
        <v>0</v>
      </c>
      <c r="F21" s="14">
        <f>données!$S$3</f>
        <v>-28.625</v>
      </c>
      <c r="G21" s="14">
        <f t="shared" si="5"/>
        <v>0</v>
      </c>
      <c r="H21" s="7" t="e">
        <f t="shared" si="0"/>
        <v>#DIV/0!</v>
      </c>
      <c r="I21" s="111">
        <f>C21*SIN(données!$B$3)</f>
        <v>0</v>
      </c>
      <c r="J21" s="7" t="e">
        <f t="shared" si="12"/>
        <v>#DIV/0!</v>
      </c>
      <c r="K21" s="8"/>
    </row>
    <row r="22" spans="1:11">
      <c r="A22" s="78"/>
      <c r="B22" s="13">
        <v>8</v>
      </c>
      <c r="C22" s="14">
        <f>données!C37</f>
        <v>0</v>
      </c>
      <c r="D22" s="23">
        <f>$B$3</f>
        <v>0</v>
      </c>
      <c r="E22" s="14">
        <f t="shared" si="8"/>
        <v>0</v>
      </c>
      <c r="F22" s="14" t="e">
        <f>données!J37</f>
        <v>#DIV/0!</v>
      </c>
      <c r="G22" s="14" t="e">
        <f t="shared" si="5"/>
        <v>#DIV/0!</v>
      </c>
      <c r="H22" s="7" t="e">
        <f t="shared" si="0"/>
        <v>#DIV/0!</v>
      </c>
      <c r="I22" s="28">
        <f>données!M37</f>
        <v>0</v>
      </c>
      <c r="J22" s="6" t="e">
        <f>D22*données!I$3^3*((données!B$3+SIN(données!B$3)*COS(données!B$3))/2-SIN(données!B$3)^2/données!B$3)+E22*H22^2</f>
        <v>#DIV/0!</v>
      </c>
      <c r="K22" s="8"/>
    </row>
    <row r="23" spans="1:11">
      <c r="A23" s="78"/>
      <c r="B23" s="13">
        <v>9</v>
      </c>
      <c r="C23" s="14">
        <f>données!C38</f>
        <v>0</v>
      </c>
      <c r="D23" s="23">
        <f>$B$3</f>
        <v>0</v>
      </c>
      <c r="E23" s="14">
        <f t="shared" si="8"/>
        <v>0</v>
      </c>
      <c r="F23" s="14">
        <f>données!J38</f>
        <v>0</v>
      </c>
      <c r="G23" s="14">
        <f t="shared" si="5"/>
        <v>0</v>
      </c>
      <c r="H23" s="7" t="e">
        <f t="shared" si="0"/>
        <v>#DIV/0!</v>
      </c>
      <c r="I23" s="28">
        <f>données!M38</f>
        <v>0</v>
      </c>
      <c r="J23" s="7" t="e">
        <f>E23*I23^2/12+E23*H23^2</f>
        <v>#DIV/0!</v>
      </c>
      <c r="K23" s="8"/>
    </row>
    <row r="24" spans="1:11">
      <c r="A24" s="5"/>
      <c r="B24" s="13">
        <v>11</v>
      </c>
      <c r="C24" s="14">
        <f>données!C39</f>
        <v>0</v>
      </c>
      <c r="D24" s="23">
        <f t="shared" ref="D24:D27" si="13">$B$3</f>
        <v>0</v>
      </c>
      <c r="E24" s="14">
        <f t="shared" si="8"/>
        <v>0</v>
      </c>
      <c r="F24" s="14">
        <f>données!J39</f>
        <v>0</v>
      </c>
      <c r="G24" s="14">
        <f t="shared" si="5"/>
        <v>0</v>
      </c>
      <c r="H24" s="7" t="e">
        <f t="shared" si="0"/>
        <v>#DIV/0!</v>
      </c>
      <c r="I24" s="28">
        <f>données!M39</f>
        <v>0</v>
      </c>
      <c r="J24" s="7" t="e">
        <f>E24*I24^2/12+E24*H24^2</f>
        <v>#DIV/0!</v>
      </c>
      <c r="K24" s="8"/>
    </row>
    <row r="25" spans="1:11">
      <c r="A25" s="5"/>
      <c r="B25" s="13">
        <v>13</v>
      </c>
      <c r="C25" s="14">
        <f>données!C40</f>
        <v>0</v>
      </c>
      <c r="D25" s="23">
        <f t="shared" si="13"/>
        <v>0</v>
      </c>
      <c r="E25" s="14">
        <f t="shared" si="8"/>
        <v>0</v>
      </c>
      <c r="F25" s="14">
        <f>données!J40</f>
        <v>0</v>
      </c>
      <c r="G25" s="14">
        <f t="shared" si="5"/>
        <v>0</v>
      </c>
      <c r="H25" s="7" t="e">
        <f t="shared" si="0"/>
        <v>#DIV/0!</v>
      </c>
      <c r="I25" s="28">
        <f>données!M40</f>
        <v>0</v>
      </c>
      <c r="J25" s="7" t="e">
        <f t="shared" ref="J25:J27" si="14">E25*I25^2/12+E25*H25^2</f>
        <v>#DIV/0!</v>
      </c>
      <c r="K25" s="8"/>
    </row>
    <row r="26" spans="1:11">
      <c r="B26" s="13">
        <v>15</v>
      </c>
      <c r="C26" s="14">
        <f>données!C41</f>
        <v>0</v>
      </c>
      <c r="D26" s="23">
        <f t="shared" si="13"/>
        <v>0</v>
      </c>
      <c r="E26" s="14">
        <f t="shared" si="8"/>
        <v>0</v>
      </c>
      <c r="F26" s="14">
        <f>données!J41</f>
        <v>0</v>
      </c>
      <c r="G26" s="14">
        <f t="shared" si="5"/>
        <v>0</v>
      </c>
      <c r="H26" s="7" t="e">
        <f t="shared" si="0"/>
        <v>#DIV/0!</v>
      </c>
      <c r="I26" s="28">
        <f>données!M41</f>
        <v>0</v>
      </c>
      <c r="J26" s="7" t="e">
        <f t="shared" si="14"/>
        <v>#DIV/0!</v>
      </c>
      <c r="K26" s="8"/>
    </row>
    <row r="27" spans="1:11">
      <c r="B27" s="13">
        <v>17</v>
      </c>
      <c r="C27" s="14">
        <f>données!C42</f>
        <v>0</v>
      </c>
      <c r="D27" s="23">
        <f t="shared" si="13"/>
        <v>0</v>
      </c>
      <c r="E27" s="14">
        <f t="shared" si="8"/>
        <v>0</v>
      </c>
      <c r="F27" s="14">
        <f>données!J42</f>
        <v>0</v>
      </c>
      <c r="G27" s="14">
        <f t="shared" si="5"/>
        <v>0</v>
      </c>
      <c r="H27" s="7" t="e">
        <f t="shared" si="0"/>
        <v>#DIV/0!</v>
      </c>
      <c r="I27" s="28">
        <f>données!M42</f>
        <v>0</v>
      </c>
      <c r="J27" s="7" t="e">
        <f t="shared" si="14"/>
        <v>#DIV/0!</v>
      </c>
      <c r="K27" s="8"/>
    </row>
    <row r="28" spans="1:11">
      <c r="B28" s="13" t="s">
        <v>6</v>
      </c>
      <c r="C28" s="8"/>
      <c r="D28" s="8"/>
      <c r="E28" s="24" t="e">
        <f>SUM(E11:E27)</f>
        <v>#DIV/0!</v>
      </c>
      <c r="F28" s="8"/>
      <c r="G28" s="24" t="e">
        <f>SUM(G11:G27)</f>
        <v>#DIV/0!</v>
      </c>
      <c r="H28" s="107" t="e">
        <f>G28/E28</f>
        <v>#DIV/0!</v>
      </c>
      <c r="I28" s="8"/>
      <c r="J28" s="12" t="e">
        <f>SUM(J11:J27)</f>
        <v>#DIV/0!</v>
      </c>
      <c r="K28" s="8" t="s">
        <v>75</v>
      </c>
    </row>
    <row r="29" spans="1:11">
      <c r="B29" s="8"/>
      <c r="C29" s="8"/>
      <c r="D29" s="8"/>
      <c r="E29" s="8"/>
      <c r="F29" s="8"/>
      <c r="G29" s="8"/>
      <c r="H29" s="9" t="e">
        <f>données!L3-H28</f>
        <v>#DIV/0!</v>
      </c>
      <c r="I29" s="8"/>
      <c r="J29" s="8" t="e">
        <f>J28*2</f>
        <v>#DIV/0!</v>
      </c>
      <c r="K29" s="8" t="s">
        <v>77</v>
      </c>
    </row>
    <row r="30" spans="1:11">
      <c r="B30" s="8" t="s">
        <v>50</v>
      </c>
      <c r="C30" s="8" t="e">
        <f>J28/MAX(H28,H29)</f>
        <v>#DIV/0!</v>
      </c>
      <c r="D30" s="8" t="s">
        <v>75</v>
      </c>
      <c r="E30" s="8"/>
      <c r="F30" s="8"/>
      <c r="G30" s="8"/>
      <c r="H30" s="8"/>
      <c r="I30" s="8"/>
      <c r="J30" s="8" t="e">
        <f>J29/données!K3</f>
        <v>#DIV/0!</v>
      </c>
      <c r="K30" s="8" t="s">
        <v>103</v>
      </c>
    </row>
    <row r="31" spans="1:11">
      <c r="B31" s="8" t="s">
        <v>50</v>
      </c>
      <c r="C31" s="8" t="e">
        <f>2*C30</f>
        <v>#DIV/0!</v>
      </c>
      <c r="D31" s="8" t="s">
        <v>77</v>
      </c>
      <c r="E31" s="8"/>
      <c r="F31" s="8"/>
      <c r="G31" s="8"/>
      <c r="H31" s="8"/>
      <c r="I31" s="8"/>
      <c r="J31" s="8"/>
      <c r="K31" s="8"/>
    </row>
    <row r="32" spans="1:11">
      <c r="B32" s="8" t="s">
        <v>50</v>
      </c>
      <c r="C32" s="8" t="e">
        <f>C31/données!K3</f>
        <v>#DIV/0!</v>
      </c>
      <c r="D32" s="8" t="s">
        <v>78</v>
      </c>
      <c r="E32" s="8"/>
      <c r="F32" s="8"/>
      <c r="G32" s="8"/>
      <c r="H32" s="8"/>
      <c r="I32" s="8"/>
      <c r="J32" s="8"/>
      <c r="K32" s="8"/>
    </row>
    <row r="33" spans="2:11"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2:11">
      <c r="B34" s="8" t="s">
        <v>12</v>
      </c>
      <c r="C34" s="8" t="s">
        <v>12</v>
      </c>
      <c r="D34" s="8"/>
      <c r="E34" s="8"/>
      <c r="F34" s="8"/>
      <c r="G34" s="8"/>
      <c r="H34" s="8"/>
      <c r="I34" s="8"/>
      <c r="J34" s="8"/>
      <c r="K34" s="8"/>
    </row>
    <row r="35" spans="2:11">
      <c r="B35" s="79" t="e">
        <f>D3*C32*1</f>
        <v>#DIV/0!</v>
      </c>
      <c r="C35" s="79" t="s">
        <v>79</v>
      </c>
      <c r="D35" s="80"/>
      <c r="E35" s="80" t="e">
        <f>B35*0.965</f>
        <v>#DIV/0!</v>
      </c>
      <c r="F35" s="82">
        <v>7843.1501932231167</v>
      </c>
      <c r="G35" s="8"/>
      <c r="H35" s="8"/>
      <c r="I35" s="8"/>
      <c r="J35" s="8"/>
      <c r="K35" s="8"/>
    </row>
    <row r="36" spans="2:11">
      <c r="B36" s="46" t="e">
        <f>B35/1000</f>
        <v>#DIV/0!</v>
      </c>
      <c r="C36" t="s">
        <v>80</v>
      </c>
      <c r="D36" t="e">
        <f>(21.73-B36)/21.73</f>
        <v>#DIV/0!</v>
      </c>
    </row>
    <row r="37" spans="2:11">
      <c r="B37" s="29"/>
    </row>
    <row r="38" spans="2:11" ht="17">
      <c r="B38" s="2" t="s">
        <v>13</v>
      </c>
      <c r="C38" s="13" t="s">
        <v>147</v>
      </c>
      <c r="D38" s="13" t="s">
        <v>187</v>
      </c>
      <c r="E38" s="13" t="s">
        <v>42</v>
      </c>
      <c r="F38" s="13" t="s">
        <v>40</v>
      </c>
      <c r="G38" s="13" t="s">
        <v>43</v>
      </c>
      <c r="H38" s="13" t="s">
        <v>41</v>
      </c>
      <c r="I38" s="21" t="s">
        <v>7</v>
      </c>
      <c r="J38" s="13" t="s">
        <v>44</v>
      </c>
    </row>
    <row r="39" spans="2:11">
      <c r="B39" s="122">
        <v>1</v>
      </c>
      <c r="C39" s="123">
        <f>C12</f>
        <v>0</v>
      </c>
      <c r="D39" s="123" t="e">
        <f t="shared" ref="D39:J39" si="15">D12</f>
        <v>#DIV/0!</v>
      </c>
      <c r="E39" s="123" t="e">
        <f t="shared" si="15"/>
        <v>#DIV/0!</v>
      </c>
      <c r="F39" s="123">
        <f t="shared" si="15"/>
        <v>0</v>
      </c>
      <c r="G39" s="123" t="e">
        <f t="shared" si="15"/>
        <v>#DIV/0!</v>
      </c>
      <c r="H39" s="123" t="e">
        <f t="shared" si="15"/>
        <v>#DIV/0!</v>
      </c>
      <c r="I39" s="123">
        <f t="shared" si="15"/>
        <v>0</v>
      </c>
      <c r="J39" s="123" t="e">
        <f t="shared" si="15"/>
        <v>#DIV/0!</v>
      </c>
    </row>
    <row r="40" spans="2:11" ht="17">
      <c r="B40" s="122" t="s">
        <v>151</v>
      </c>
      <c r="C40" s="123">
        <f t="shared" ref="C40:J44" si="16">C13</f>
        <v>0</v>
      </c>
      <c r="D40" s="123" t="e">
        <f t="shared" si="16"/>
        <v>#DIV/0!</v>
      </c>
      <c r="E40" s="123" t="e">
        <f t="shared" si="16"/>
        <v>#DIV/0!</v>
      </c>
      <c r="F40" s="123" t="e">
        <f t="shared" si="16"/>
        <v>#DIV/0!</v>
      </c>
      <c r="G40" s="123" t="e">
        <f t="shared" si="16"/>
        <v>#DIV/0!</v>
      </c>
      <c r="H40" s="123" t="e">
        <f t="shared" si="16"/>
        <v>#DIV/0!</v>
      </c>
      <c r="I40" s="123">
        <f t="shared" si="16"/>
        <v>0</v>
      </c>
      <c r="J40" s="123" t="e">
        <f t="shared" si="16"/>
        <v>#DIV/0!</v>
      </c>
    </row>
    <row r="41" spans="2:11">
      <c r="B41" s="1">
        <v>2</v>
      </c>
      <c r="C41" s="123">
        <f t="shared" si="16"/>
        <v>0</v>
      </c>
      <c r="D41" s="123" t="e">
        <f t="shared" si="16"/>
        <v>#DIV/0!</v>
      </c>
      <c r="E41" s="123" t="e">
        <f t="shared" si="16"/>
        <v>#DIV/0!</v>
      </c>
      <c r="F41" s="123">
        <f t="shared" si="16"/>
        <v>0</v>
      </c>
      <c r="G41" s="123" t="e">
        <f t="shared" si="16"/>
        <v>#DIV/0!</v>
      </c>
      <c r="H41" s="123" t="e">
        <f t="shared" si="16"/>
        <v>#DIV/0!</v>
      </c>
      <c r="I41" s="123">
        <f t="shared" si="16"/>
        <v>0</v>
      </c>
      <c r="J41" s="123" t="e">
        <f t="shared" si="16"/>
        <v>#DIV/0!</v>
      </c>
    </row>
    <row r="42" spans="2:11" ht="17">
      <c r="B42" s="122" t="s">
        <v>152</v>
      </c>
      <c r="C42" s="123">
        <f t="shared" si="16"/>
        <v>0</v>
      </c>
      <c r="D42" s="123" t="e">
        <f t="shared" si="16"/>
        <v>#DIV/0!</v>
      </c>
      <c r="E42" s="123" t="e">
        <f t="shared" si="16"/>
        <v>#DIV/0!</v>
      </c>
      <c r="F42" s="123" t="e">
        <f t="shared" si="16"/>
        <v>#DIV/0!</v>
      </c>
      <c r="G42" s="123" t="e">
        <f t="shared" si="16"/>
        <v>#DIV/0!</v>
      </c>
      <c r="H42" s="123" t="e">
        <f t="shared" si="16"/>
        <v>#DIV/0!</v>
      </c>
      <c r="I42" s="123">
        <f t="shared" si="16"/>
        <v>0</v>
      </c>
      <c r="J42" s="123" t="e">
        <f t="shared" si="16"/>
        <v>#DIV/0!</v>
      </c>
    </row>
    <row r="43" spans="2:11">
      <c r="B43" s="122">
        <v>31</v>
      </c>
      <c r="C43" s="123" t="e">
        <f t="shared" si="16"/>
        <v>#DIV/0!</v>
      </c>
      <c r="D43" s="123" t="e">
        <f t="shared" si="16"/>
        <v>#DIV/0!</v>
      </c>
      <c r="E43" s="123" t="e">
        <f t="shared" si="16"/>
        <v>#DIV/0!</v>
      </c>
      <c r="F43" s="123">
        <f t="shared" si="16"/>
        <v>0</v>
      </c>
      <c r="G43" s="123" t="e">
        <f t="shared" si="16"/>
        <v>#DIV/0!</v>
      </c>
      <c r="H43" s="123" t="e">
        <f t="shared" si="16"/>
        <v>#DIV/0!</v>
      </c>
      <c r="I43" s="123">
        <f t="shared" si="16"/>
        <v>0</v>
      </c>
      <c r="J43" s="123" t="e">
        <f t="shared" si="16"/>
        <v>#DIV/0!</v>
      </c>
    </row>
    <row r="44" spans="2:11">
      <c r="B44" s="122">
        <v>32</v>
      </c>
      <c r="C44" s="123" t="e">
        <f t="shared" si="16"/>
        <v>#DIV/0!</v>
      </c>
      <c r="D44" s="123">
        <f t="shared" si="16"/>
        <v>0</v>
      </c>
      <c r="E44" s="123" t="e">
        <f t="shared" si="16"/>
        <v>#DIV/0!</v>
      </c>
      <c r="F44" s="123">
        <f t="shared" si="16"/>
        <v>0</v>
      </c>
      <c r="G44" s="123" t="e">
        <f t="shared" si="16"/>
        <v>#DIV/0!</v>
      </c>
      <c r="H44" s="123" t="e">
        <f t="shared" si="16"/>
        <v>#DIV/0!</v>
      </c>
      <c r="I44" s="123">
        <f t="shared" si="16"/>
        <v>0</v>
      </c>
      <c r="J44" s="123" t="e">
        <f t="shared" si="16"/>
        <v>#DIV/0!</v>
      </c>
    </row>
    <row r="45" spans="2:11" ht="17">
      <c r="B45" s="122" t="s">
        <v>148</v>
      </c>
      <c r="C45" s="123">
        <f>C18</f>
        <v>0</v>
      </c>
      <c r="D45" s="123">
        <f t="shared" ref="D45:J45" si="17">D18</f>
        <v>0</v>
      </c>
      <c r="E45" s="123">
        <f t="shared" si="17"/>
        <v>0</v>
      </c>
      <c r="F45" s="123" t="e">
        <f t="shared" si="17"/>
        <v>#DIV/0!</v>
      </c>
      <c r="G45" s="123" t="e">
        <f t="shared" si="17"/>
        <v>#DIV/0!</v>
      </c>
      <c r="H45" s="123" t="e">
        <f t="shared" si="17"/>
        <v>#DIV/0!</v>
      </c>
      <c r="I45" s="123">
        <f t="shared" si="17"/>
        <v>0</v>
      </c>
      <c r="J45" s="123" t="e">
        <f t="shared" si="17"/>
        <v>#DIV/0!</v>
      </c>
    </row>
    <row r="46" spans="2:11">
      <c r="B46" s="122">
        <v>4</v>
      </c>
      <c r="C46" s="123">
        <f>C19</f>
        <v>0</v>
      </c>
      <c r="D46" s="123">
        <f t="shared" ref="D46:J46" si="18">D19</f>
        <v>0</v>
      </c>
      <c r="E46" s="123">
        <f t="shared" si="18"/>
        <v>0</v>
      </c>
      <c r="F46" s="123">
        <f t="shared" si="18"/>
        <v>0</v>
      </c>
      <c r="G46" s="123">
        <f t="shared" si="18"/>
        <v>0</v>
      </c>
      <c r="H46" s="123" t="e">
        <f t="shared" si="18"/>
        <v>#DIV/0!</v>
      </c>
      <c r="I46" s="123">
        <f t="shared" si="18"/>
        <v>0</v>
      </c>
      <c r="J46" s="123" t="e">
        <f t="shared" si="18"/>
        <v>#DIV/0!</v>
      </c>
    </row>
    <row r="47" spans="2:11" ht="17">
      <c r="B47" s="122" t="s">
        <v>149</v>
      </c>
      <c r="C47" s="123">
        <f>C22</f>
        <v>0</v>
      </c>
      <c r="D47" s="123">
        <f t="shared" ref="D47:J47" si="19">D22</f>
        <v>0</v>
      </c>
      <c r="E47" s="123">
        <f t="shared" si="19"/>
        <v>0</v>
      </c>
      <c r="F47" s="123" t="e">
        <f t="shared" si="19"/>
        <v>#DIV/0!</v>
      </c>
      <c r="G47" s="123" t="e">
        <f t="shared" si="19"/>
        <v>#DIV/0!</v>
      </c>
      <c r="H47" s="123" t="e">
        <f t="shared" si="19"/>
        <v>#DIV/0!</v>
      </c>
      <c r="I47" s="123">
        <f t="shared" si="19"/>
        <v>0</v>
      </c>
      <c r="J47" s="123" t="e">
        <f t="shared" si="19"/>
        <v>#DIV/0!</v>
      </c>
    </row>
    <row r="48" spans="2:11">
      <c r="B48" s="122">
        <v>5</v>
      </c>
      <c r="C48" s="123">
        <f t="shared" ref="C48:J52" si="20">C23</f>
        <v>0</v>
      </c>
      <c r="D48" s="123">
        <f t="shared" si="20"/>
        <v>0</v>
      </c>
      <c r="E48" s="123">
        <f t="shared" si="20"/>
        <v>0</v>
      </c>
      <c r="F48" s="123">
        <f t="shared" si="20"/>
        <v>0</v>
      </c>
      <c r="G48" s="123">
        <f t="shared" si="20"/>
        <v>0</v>
      </c>
      <c r="H48" s="123" t="e">
        <f t="shared" si="20"/>
        <v>#DIV/0!</v>
      </c>
      <c r="I48" s="123">
        <f t="shared" si="20"/>
        <v>0</v>
      </c>
      <c r="J48" s="123" t="e">
        <f t="shared" si="20"/>
        <v>#DIV/0!</v>
      </c>
    </row>
    <row r="49" spans="2:10">
      <c r="B49" s="122">
        <v>6</v>
      </c>
      <c r="C49" s="123">
        <f t="shared" si="20"/>
        <v>0</v>
      </c>
      <c r="D49" s="123">
        <f t="shared" si="20"/>
        <v>0</v>
      </c>
      <c r="E49" s="123">
        <f t="shared" si="20"/>
        <v>0</v>
      </c>
      <c r="F49" s="123">
        <f t="shared" si="20"/>
        <v>0</v>
      </c>
      <c r="G49" s="123">
        <f t="shared" si="20"/>
        <v>0</v>
      </c>
      <c r="H49" s="123" t="e">
        <f t="shared" si="20"/>
        <v>#DIV/0!</v>
      </c>
      <c r="I49" s="123">
        <f t="shared" si="20"/>
        <v>0</v>
      </c>
      <c r="J49" s="123" t="e">
        <f t="shared" si="20"/>
        <v>#DIV/0!</v>
      </c>
    </row>
    <row r="50" spans="2:10">
      <c r="B50" s="122">
        <v>7</v>
      </c>
      <c r="C50" s="123">
        <f t="shared" si="20"/>
        <v>0</v>
      </c>
      <c r="D50" s="123">
        <f t="shared" si="20"/>
        <v>0</v>
      </c>
      <c r="E50" s="123">
        <f t="shared" si="20"/>
        <v>0</v>
      </c>
      <c r="F50" s="123">
        <f t="shared" si="20"/>
        <v>0</v>
      </c>
      <c r="G50" s="123">
        <f t="shared" si="20"/>
        <v>0</v>
      </c>
      <c r="H50" s="123" t="e">
        <f t="shared" si="20"/>
        <v>#DIV/0!</v>
      </c>
      <c r="I50" s="123">
        <f t="shared" si="20"/>
        <v>0</v>
      </c>
      <c r="J50" s="123" t="e">
        <f t="shared" si="20"/>
        <v>#DIV/0!</v>
      </c>
    </row>
    <row r="51" spans="2:10">
      <c r="B51" s="122">
        <v>8</v>
      </c>
      <c r="C51" s="123">
        <f t="shared" si="20"/>
        <v>0</v>
      </c>
      <c r="D51" s="123">
        <f t="shared" si="20"/>
        <v>0</v>
      </c>
      <c r="E51" s="123">
        <f t="shared" si="20"/>
        <v>0</v>
      </c>
      <c r="F51" s="123">
        <f t="shared" si="20"/>
        <v>0</v>
      </c>
      <c r="G51" s="123">
        <f t="shared" si="20"/>
        <v>0</v>
      </c>
      <c r="H51" s="123" t="e">
        <f t="shared" si="20"/>
        <v>#DIV/0!</v>
      </c>
      <c r="I51" s="123">
        <f t="shared" si="20"/>
        <v>0</v>
      </c>
      <c r="J51" s="123" t="e">
        <f t="shared" si="20"/>
        <v>#DIV/0!</v>
      </c>
    </row>
    <row r="52" spans="2:10">
      <c r="B52" s="122">
        <v>9</v>
      </c>
      <c r="C52" s="123">
        <f t="shared" si="20"/>
        <v>0</v>
      </c>
      <c r="D52" s="123">
        <f t="shared" si="20"/>
        <v>0</v>
      </c>
      <c r="E52" s="123">
        <f t="shared" si="20"/>
        <v>0</v>
      </c>
      <c r="F52" s="123">
        <f t="shared" si="20"/>
        <v>0</v>
      </c>
      <c r="G52" s="123">
        <f t="shared" si="20"/>
        <v>0</v>
      </c>
      <c r="H52" s="123" t="e">
        <f t="shared" si="20"/>
        <v>#DIV/0!</v>
      </c>
      <c r="I52" s="123">
        <f t="shared" si="20"/>
        <v>0</v>
      </c>
      <c r="J52" s="123" t="e">
        <f t="shared" si="20"/>
        <v>#DIV/0!</v>
      </c>
    </row>
    <row r="53" spans="2:10">
      <c r="B53" s="116" t="s">
        <v>150</v>
      </c>
      <c r="E53" s="124" t="e">
        <f>SUM(E39:E52)</f>
        <v>#DIV/0!</v>
      </c>
      <c r="F53" s="125"/>
      <c r="G53" s="124" t="e">
        <f>SUM(G39:G52)</f>
        <v>#DIV/0!</v>
      </c>
      <c r="H53" s="126" t="e">
        <f>G53/E53</f>
        <v>#DIV/0!</v>
      </c>
      <c r="I53" s="124"/>
      <c r="J53" s="124" t="e">
        <f>SUM(J39:J52)</f>
        <v>#DIV/0!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orkbookViewId="0">
      <selection activeCell="H48" sqref="H48:O62"/>
    </sheetView>
  </sheetViews>
  <sheetFormatPr baseColWidth="10" defaultRowHeight="14" x14ac:dyDescent="0"/>
  <cols>
    <col min="2" max="2" width="5.5" bestFit="1" customWidth="1"/>
    <col min="3" max="3" width="4.5" bestFit="1" customWidth="1"/>
    <col min="4" max="4" width="11.33203125" bestFit="1" customWidth="1"/>
    <col min="5" max="5" width="10.33203125" bestFit="1" customWidth="1"/>
    <col min="6" max="6" width="4.5" bestFit="1" customWidth="1"/>
    <col min="7" max="7" width="6.83203125" customWidth="1"/>
    <col min="8" max="8" width="4.5" customWidth="1"/>
    <col min="9" max="9" width="5.5" bestFit="1" customWidth="1"/>
    <col min="10" max="10" width="7.1640625" customWidth="1"/>
    <col min="11" max="11" width="5.5" customWidth="1"/>
    <col min="12" max="12" width="7.6640625" customWidth="1"/>
    <col min="13" max="13" width="5.5" bestFit="1" customWidth="1"/>
    <col min="14" max="14" width="7.83203125" bestFit="1" customWidth="1"/>
    <col min="15" max="15" width="8.5" bestFit="1" customWidth="1"/>
  </cols>
  <sheetData>
    <row r="2" spans="2:15">
      <c r="B2" s="8" t="s">
        <v>15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7">
      <c r="B4" s="2" t="s">
        <v>18</v>
      </c>
      <c r="C4" s="2" t="s">
        <v>0</v>
      </c>
      <c r="D4" s="2" t="s">
        <v>17</v>
      </c>
      <c r="E4" s="2" t="s">
        <v>2</v>
      </c>
      <c r="F4" s="2" t="s">
        <v>1</v>
      </c>
      <c r="G4" s="41" t="s">
        <v>67</v>
      </c>
      <c r="H4" s="38" t="s">
        <v>63</v>
      </c>
      <c r="I4" s="2" t="s">
        <v>19</v>
      </c>
      <c r="J4" s="39" t="s">
        <v>65</v>
      </c>
      <c r="K4" s="40" t="s">
        <v>66</v>
      </c>
      <c r="L4" s="2" t="s">
        <v>64</v>
      </c>
      <c r="M4" s="2" t="s">
        <v>3</v>
      </c>
      <c r="N4" s="10" t="s">
        <v>20</v>
      </c>
      <c r="O4" s="10" t="s">
        <v>4</v>
      </c>
    </row>
    <row r="5" spans="2:15">
      <c r="B5" s="7">
        <f>largeur_eff_semelle!B5</f>
        <v>0</v>
      </c>
      <c r="C5" s="7">
        <f>données!E3</f>
        <v>0</v>
      </c>
      <c r="D5" s="36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MIN(D5,D5*(données!L3-résistance_section!H28)/résistance_section!H28)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56" t="e">
        <f>MAX(N5/2,données!C21)</f>
        <v>#DIV/0!</v>
      </c>
    </row>
    <row r="6" spans="2:15">
      <c r="B6" s="8"/>
      <c r="C6" s="8"/>
      <c r="D6" s="3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>
      <c r="B7" s="8"/>
      <c r="C7" s="8"/>
      <c r="D7" s="37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>
      <c r="B8" s="8"/>
      <c r="C8" s="8"/>
      <c r="D8" s="37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>
      <c r="B9" s="2"/>
      <c r="C9" s="2"/>
      <c r="D9" s="10"/>
      <c r="E9" s="2"/>
      <c r="F9" s="2"/>
      <c r="G9" s="41"/>
      <c r="H9" s="38"/>
      <c r="I9" s="2"/>
      <c r="J9" s="39"/>
      <c r="K9" s="40"/>
      <c r="L9" s="2"/>
      <c r="M9" s="2"/>
      <c r="N9" s="10"/>
      <c r="O9" s="10"/>
    </row>
    <row r="10" spans="2:15">
      <c r="B10" s="12"/>
      <c r="C10" s="7"/>
      <c r="D10" s="36"/>
      <c r="E10" s="7"/>
      <c r="F10" s="7"/>
      <c r="G10" s="7"/>
      <c r="H10" s="7"/>
      <c r="I10" s="11"/>
      <c r="J10" s="11"/>
      <c r="K10" s="11"/>
      <c r="L10" s="11"/>
      <c r="M10" s="11"/>
      <c r="N10" s="7"/>
      <c r="O10" s="5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27</vt:i4>
      </vt:variant>
    </vt:vector>
  </HeadingPairs>
  <TitlesOfParts>
    <vt:vector size="27" baseType="lpstr">
      <vt:lpstr>data</vt:lpstr>
      <vt:lpstr>données</vt:lpstr>
      <vt:lpstr>largeur_eff_semelle</vt:lpstr>
      <vt:lpstr>raidisseur</vt:lpstr>
      <vt:lpstr>largeur_eff_semelle bis</vt:lpstr>
      <vt:lpstr>largeur_eff_ame</vt:lpstr>
      <vt:lpstr>raidisseur (bis)</vt:lpstr>
      <vt:lpstr>résistance_section</vt:lpstr>
      <vt:lpstr>largeur_eff_semelle (2)</vt:lpstr>
      <vt:lpstr>raidisseur (2)</vt:lpstr>
      <vt:lpstr>largeur_eff_semelle bis (2)</vt:lpstr>
      <vt:lpstr>raidisseurbis (2)</vt:lpstr>
      <vt:lpstr>largeur_eff_ame (2)</vt:lpstr>
      <vt:lpstr>résistance_section (2)</vt:lpstr>
      <vt:lpstr>largeur_eff_semelle (3)</vt:lpstr>
      <vt:lpstr>raidisseur (3)</vt:lpstr>
      <vt:lpstr>largeur_eff_semelle bis (3)</vt:lpstr>
      <vt:lpstr>raidisseur bis (3)</vt:lpstr>
      <vt:lpstr>largeur_eff_ame (3)</vt:lpstr>
      <vt:lpstr>résistance_section (3)</vt:lpstr>
      <vt:lpstr>largeur_eff_semelle (4)</vt:lpstr>
      <vt:lpstr>raidisseur (4)</vt:lpstr>
      <vt:lpstr>largeur_eff_semelle bis (4)</vt:lpstr>
      <vt:lpstr>raidisseur bis (4)</vt:lpstr>
      <vt:lpstr>largeur_eff_ame (4)</vt:lpstr>
      <vt:lpstr>résistance_section (4)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spconsultants</dc:creator>
  <cp:lastModifiedBy>ANNA Palisson</cp:lastModifiedBy>
  <cp:lastPrinted>2018-03-30T17:04:23Z</cp:lastPrinted>
  <dcterms:created xsi:type="dcterms:W3CDTF">2009-08-10T11:42:28Z</dcterms:created>
  <dcterms:modified xsi:type="dcterms:W3CDTF">2018-04-23T17:53:57Z</dcterms:modified>
</cp:coreProperties>
</file>