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checkCompatibility="1" autoCompressPictures="0"/>
  <workbookProtection workbookPassword="DDF1" lockStructure="1"/>
  <bookViews>
    <workbookView xWindow="580" yWindow="0" windowWidth="27620" windowHeight="15400" tabRatio="684"/>
  </bookViews>
  <sheets>
    <sheet name="data" sheetId="24" r:id="rId1"/>
    <sheet name="données" sheetId="7" state="hidden" r:id="rId2"/>
    <sheet name="largeur_eff_semelle" sheetId="1" state="hidden" r:id="rId3"/>
    <sheet name="raidisseur" sheetId="2" state="hidden" r:id="rId4"/>
    <sheet name="largeur_eff_semelle bis" sheetId="18" state="hidden" r:id="rId5"/>
    <sheet name="raidisseur (bis)" sheetId="20" state="hidden" r:id="rId6"/>
    <sheet name="largeur_eff_ame" sheetId="3" state="hidden" r:id="rId7"/>
    <sheet name="résistance_section" sheetId="6" state="hidden" r:id="rId8"/>
    <sheet name="largeur_eff_semelle (2)" sheetId="10" state="hidden" r:id="rId9"/>
    <sheet name="raidisseur (2)" sheetId="11" state="hidden" r:id="rId10"/>
    <sheet name="largeur_eff_semelle bis (2)" sheetId="19" state="hidden" r:id="rId11"/>
    <sheet name="raidisseur (2bis)" sheetId="21" state="hidden" r:id="rId12"/>
    <sheet name="largeur_eff_ame (2)" sheetId="12" state="hidden" r:id="rId13"/>
    <sheet name="résistance_section (2)" sheetId="13" state="hidden" r:id="rId14"/>
    <sheet name="largeur_eff_semelle (3)" sheetId="14" state="hidden" r:id="rId15"/>
    <sheet name="raidisseur (3)" sheetId="15" state="hidden" r:id="rId16"/>
    <sheet name="largeur_eff_semelle bis (3)" sheetId="22" state="hidden" r:id="rId17"/>
    <sheet name="raidisseur (3bis)" sheetId="23" state="hidden" r:id="rId18"/>
    <sheet name="largeur_eff_ame (3)" sheetId="16" state="hidden" r:id="rId19"/>
    <sheet name="résistance_section (3)" sheetId="17" state="hidden" r:id="rId20"/>
    <sheet name="eff_tranchant" sheetId="8" state="hidden" r:id="rId21"/>
    <sheet name="reaction_appui" sheetId="9" state="hidden" r:id="rId22"/>
    <sheet name="Feuil1" sheetId="25" state="hidden" r:id="rId23"/>
  </sheets>
  <definedNames>
    <definedName name="_xlnm.Print_Area" localSheetId="1">données!$H$29:$N$45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4" i="24" l="1"/>
  <c r="D3" i="7"/>
  <c r="I17" i="7"/>
  <c r="I18" i="7"/>
  <c r="I3" i="7"/>
  <c r="L17" i="7"/>
  <c r="L18" i="7"/>
  <c r="J3" i="7"/>
  <c r="B3" i="7"/>
  <c r="C17" i="7"/>
  <c r="C18" i="7"/>
  <c r="K3" i="7"/>
  <c r="C21" i="7"/>
  <c r="C3" i="7"/>
  <c r="I19" i="7"/>
  <c r="E3" i="7"/>
  <c r="F3" i="11"/>
  <c r="C6" i="7"/>
  <c r="B10" i="1"/>
  <c r="E3" i="11"/>
  <c r="C6" i="11"/>
  <c r="D6" i="11"/>
  <c r="F6" i="11"/>
  <c r="I26" i="7"/>
  <c r="C31" i="7"/>
  <c r="C7" i="11"/>
  <c r="D7" i="11"/>
  <c r="I27" i="7"/>
  <c r="E7" i="11"/>
  <c r="F7" i="11"/>
  <c r="C7" i="7"/>
  <c r="C32" i="7"/>
  <c r="C8" i="11"/>
  <c r="D8" i="11"/>
  <c r="E8" i="11"/>
  <c r="F8" i="11"/>
  <c r="L26" i="7"/>
  <c r="C33" i="7"/>
  <c r="C9" i="11"/>
  <c r="D9" i="11"/>
  <c r="O3" i="7"/>
  <c r="D7" i="7"/>
  <c r="E9" i="11"/>
  <c r="F9" i="11"/>
  <c r="C34" i="7"/>
  <c r="C10" i="11"/>
  <c r="D10" i="11"/>
  <c r="E10" i="11"/>
  <c r="F10" i="11"/>
  <c r="C35" i="7"/>
  <c r="C11" i="11"/>
  <c r="D11" i="11"/>
  <c r="E11" i="11"/>
  <c r="F11" i="11"/>
  <c r="C12" i="11"/>
  <c r="D12" i="11"/>
  <c r="F12" i="11"/>
  <c r="F13" i="11"/>
  <c r="D13" i="11"/>
  <c r="G13" i="11"/>
  <c r="G6" i="11"/>
  <c r="M30" i="7"/>
  <c r="H6" i="11"/>
  <c r="I6" i="11"/>
  <c r="G7" i="11"/>
  <c r="I7" i="11"/>
  <c r="M32" i="7"/>
  <c r="H8" i="11"/>
  <c r="G8" i="11"/>
  <c r="I8" i="11"/>
  <c r="G9" i="11"/>
  <c r="I9" i="11"/>
  <c r="M34" i="7"/>
  <c r="H10" i="11"/>
  <c r="G10" i="11"/>
  <c r="I10" i="11"/>
  <c r="G11" i="11"/>
  <c r="I11" i="11"/>
  <c r="G12" i="11"/>
  <c r="M36" i="7"/>
  <c r="H12" i="11"/>
  <c r="I12" i="11"/>
  <c r="I13" i="11"/>
  <c r="C3" i="11"/>
  <c r="C9" i="7"/>
  <c r="B5" i="10"/>
  <c r="D3" i="11"/>
  <c r="C27" i="11"/>
  <c r="B3" i="11"/>
  <c r="B27" i="11"/>
  <c r="F27" i="11"/>
  <c r="N3" i="7"/>
  <c r="Q3" i="7"/>
  <c r="E27" i="11"/>
  <c r="G27" i="11"/>
  <c r="H27" i="11"/>
  <c r="I27" i="11"/>
  <c r="F3" i="2"/>
  <c r="E3" i="2"/>
  <c r="C6" i="2"/>
  <c r="D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F12" i="2"/>
  <c r="F13" i="2"/>
  <c r="D13" i="2"/>
  <c r="G13" i="2"/>
  <c r="G6" i="2"/>
  <c r="H6" i="2"/>
  <c r="I6" i="2"/>
  <c r="G7" i="2"/>
  <c r="I7" i="2"/>
  <c r="H8" i="2"/>
  <c r="G8" i="2"/>
  <c r="I8" i="2"/>
  <c r="G9" i="2"/>
  <c r="I9" i="2"/>
  <c r="H10" i="2"/>
  <c r="G10" i="2"/>
  <c r="I10" i="2"/>
  <c r="G11" i="2"/>
  <c r="I11" i="2"/>
  <c r="G12" i="2"/>
  <c r="H12" i="2"/>
  <c r="I12" i="2"/>
  <c r="I13" i="2"/>
  <c r="C3" i="2"/>
  <c r="B5" i="1"/>
  <c r="D3" i="2"/>
  <c r="C27" i="2"/>
  <c r="B3" i="2"/>
  <c r="B27" i="2"/>
  <c r="F27" i="2"/>
  <c r="E27" i="2"/>
  <c r="G27" i="2"/>
  <c r="H27" i="2"/>
  <c r="I27" i="2"/>
  <c r="C30" i="7"/>
  <c r="I30" i="7"/>
  <c r="J30" i="7"/>
  <c r="K30" i="7"/>
  <c r="I31" i="7"/>
  <c r="J31" i="7"/>
  <c r="K31" i="7"/>
  <c r="I32" i="7"/>
  <c r="J32" i="7"/>
  <c r="K32" i="7"/>
  <c r="I33" i="7"/>
  <c r="L27" i="7"/>
  <c r="J33" i="7"/>
  <c r="K33" i="7"/>
  <c r="I34" i="7"/>
  <c r="J34" i="7"/>
  <c r="K34" i="7"/>
  <c r="I35" i="7"/>
  <c r="J35" i="7"/>
  <c r="K35" i="7"/>
  <c r="C19" i="7"/>
  <c r="C36" i="7"/>
  <c r="I36" i="7"/>
  <c r="J36" i="7"/>
  <c r="K36" i="7"/>
  <c r="C10" i="7"/>
  <c r="C22" i="7"/>
  <c r="C38" i="7"/>
  <c r="I38" i="7"/>
  <c r="J38" i="7"/>
  <c r="K38" i="7"/>
  <c r="C12" i="7"/>
  <c r="C41" i="7"/>
  <c r="I41" i="7"/>
  <c r="P3" i="7"/>
  <c r="J41" i="7"/>
  <c r="K41" i="7"/>
  <c r="C26" i="7"/>
  <c r="C37" i="7"/>
  <c r="I37" i="7"/>
  <c r="C27" i="7"/>
  <c r="J37" i="7"/>
  <c r="K37" i="7"/>
  <c r="C23" i="7"/>
  <c r="C39" i="7"/>
  <c r="I39" i="7"/>
  <c r="J39" i="7"/>
  <c r="K39" i="7"/>
  <c r="C11" i="7"/>
  <c r="C40" i="7"/>
  <c r="I40" i="7"/>
  <c r="K40" i="7"/>
  <c r="C13" i="7"/>
  <c r="C42" i="7"/>
  <c r="I42" i="7"/>
  <c r="J42" i="7"/>
  <c r="K42" i="7"/>
  <c r="K45" i="7"/>
  <c r="I45" i="7"/>
  <c r="L45" i="7"/>
  <c r="G3" i="7"/>
  <c r="D10" i="1"/>
  <c r="J10" i="1"/>
  <c r="C10" i="1"/>
  <c r="H10" i="1"/>
  <c r="I10" i="1"/>
  <c r="L10" i="1"/>
  <c r="M10" i="1"/>
  <c r="N10" i="1"/>
  <c r="O10" i="1"/>
  <c r="C16" i="2"/>
  <c r="D16" i="2"/>
  <c r="C17" i="2"/>
  <c r="D17" i="2"/>
  <c r="C18" i="2"/>
  <c r="D18" i="2"/>
  <c r="C19" i="2"/>
  <c r="D19" i="2"/>
  <c r="C20" i="2"/>
  <c r="D20" i="2"/>
  <c r="C21" i="2"/>
  <c r="D21" i="2"/>
  <c r="D5" i="1"/>
  <c r="J5" i="1"/>
  <c r="C5" i="1"/>
  <c r="H5" i="1"/>
  <c r="I5" i="1"/>
  <c r="L5" i="1"/>
  <c r="M5" i="1"/>
  <c r="N5" i="1"/>
  <c r="O5" i="1"/>
  <c r="C22" i="2"/>
  <c r="D22" i="2"/>
  <c r="D23" i="2"/>
  <c r="H3" i="7"/>
  <c r="G3" i="2"/>
  <c r="B30" i="2"/>
  <c r="B33" i="2"/>
  <c r="C33" i="2"/>
  <c r="E33" i="2"/>
  <c r="B36" i="2"/>
  <c r="D10" i="18"/>
  <c r="J10" i="18"/>
  <c r="B10" i="18"/>
  <c r="C10" i="18"/>
  <c r="H10" i="18"/>
  <c r="I10" i="18"/>
  <c r="L10" i="18"/>
  <c r="M10" i="18"/>
  <c r="N10" i="18"/>
  <c r="O10" i="18"/>
  <c r="C11" i="6"/>
  <c r="F3" i="20"/>
  <c r="E3" i="20"/>
  <c r="C6" i="20"/>
  <c r="D6" i="20"/>
  <c r="F6" i="20"/>
  <c r="C7" i="20"/>
  <c r="D7" i="20"/>
  <c r="E7" i="20"/>
  <c r="F7" i="20"/>
  <c r="C8" i="20"/>
  <c r="D8" i="20"/>
  <c r="E8" i="20"/>
  <c r="F8" i="20"/>
  <c r="C9" i="20"/>
  <c r="D9" i="20"/>
  <c r="E9" i="20"/>
  <c r="F9" i="20"/>
  <c r="C10" i="20"/>
  <c r="D10" i="20"/>
  <c r="E10" i="20"/>
  <c r="F10" i="20"/>
  <c r="C11" i="20"/>
  <c r="D11" i="20"/>
  <c r="E11" i="20"/>
  <c r="F11" i="20"/>
  <c r="C12" i="20"/>
  <c r="D12" i="20"/>
  <c r="F12" i="20"/>
  <c r="F13" i="20"/>
  <c r="D13" i="20"/>
  <c r="G13" i="20"/>
  <c r="G6" i="20"/>
  <c r="H6" i="20"/>
  <c r="I6" i="20"/>
  <c r="G7" i="20"/>
  <c r="I7" i="20"/>
  <c r="H8" i="20"/>
  <c r="G8" i="20"/>
  <c r="I8" i="20"/>
  <c r="G9" i="20"/>
  <c r="I9" i="20"/>
  <c r="H10" i="20"/>
  <c r="G10" i="20"/>
  <c r="I10" i="20"/>
  <c r="G11" i="20"/>
  <c r="I11" i="20"/>
  <c r="G12" i="20"/>
  <c r="H12" i="20"/>
  <c r="I12" i="20"/>
  <c r="I13" i="20"/>
  <c r="C3" i="20"/>
  <c r="B5" i="18"/>
  <c r="D3" i="20"/>
  <c r="C27" i="20"/>
  <c r="B3" i="20"/>
  <c r="B27" i="20"/>
  <c r="F27" i="20"/>
  <c r="E27" i="20"/>
  <c r="G27" i="20"/>
  <c r="H27" i="20"/>
  <c r="I27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J5" i="18"/>
  <c r="C5" i="18"/>
  <c r="D5" i="18"/>
  <c r="H5" i="18"/>
  <c r="I5" i="18"/>
  <c r="L5" i="18"/>
  <c r="M5" i="18"/>
  <c r="N5" i="18"/>
  <c r="O5" i="18"/>
  <c r="C22" i="20"/>
  <c r="D22" i="20"/>
  <c r="D23" i="20"/>
  <c r="G3" i="20"/>
  <c r="B30" i="20"/>
  <c r="B33" i="20"/>
  <c r="C33" i="20"/>
  <c r="E33" i="20"/>
  <c r="B36" i="20"/>
  <c r="C36" i="20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B3" i="6"/>
  <c r="D18" i="6"/>
  <c r="E18" i="6"/>
  <c r="F18" i="6"/>
  <c r="G18" i="6"/>
  <c r="C20" i="6"/>
  <c r="D20" i="6"/>
  <c r="E20" i="6"/>
  <c r="F20" i="6"/>
  <c r="G20" i="6"/>
  <c r="C27" i="6"/>
  <c r="D27" i="6"/>
  <c r="E27" i="6"/>
  <c r="F27" i="6"/>
  <c r="G27" i="6"/>
  <c r="C19" i="6"/>
  <c r="D19" i="6"/>
  <c r="E19" i="6"/>
  <c r="F19" i="6"/>
  <c r="G19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G26" i="6"/>
  <c r="C28" i="6"/>
  <c r="D28" i="6"/>
  <c r="E28" i="6"/>
  <c r="F28" i="6"/>
  <c r="G28" i="6"/>
  <c r="G31" i="6"/>
  <c r="E31" i="6"/>
  <c r="H31" i="6"/>
  <c r="D10" i="10"/>
  <c r="J10" i="10"/>
  <c r="B10" i="10"/>
  <c r="C10" i="10"/>
  <c r="H10" i="10"/>
  <c r="I10" i="10"/>
  <c r="L10" i="10"/>
  <c r="M10" i="10"/>
  <c r="N10" i="10"/>
  <c r="O10" i="10"/>
  <c r="C16" i="11"/>
  <c r="D16" i="11"/>
  <c r="C17" i="11"/>
  <c r="D17" i="11"/>
  <c r="C18" i="11"/>
  <c r="D18" i="11"/>
  <c r="C19" i="11"/>
  <c r="D19" i="11"/>
  <c r="C20" i="11"/>
  <c r="D20" i="11"/>
  <c r="C21" i="11"/>
  <c r="D21" i="11"/>
  <c r="D5" i="10"/>
  <c r="J5" i="10"/>
  <c r="C5" i="10"/>
  <c r="H5" i="10"/>
  <c r="I5" i="10"/>
  <c r="L5" i="10"/>
  <c r="M5" i="10"/>
  <c r="N5" i="10"/>
  <c r="O5" i="10"/>
  <c r="C22" i="11"/>
  <c r="D22" i="11"/>
  <c r="D23" i="11"/>
  <c r="G3" i="11"/>
  <c r="B30" i="11"/>
  <c r="B33" i="11"/>
  <c r="C33" i="11"/>
  <c r="E33" i="11"/>
  <c r="B36" i="11"/>
  <c r="D10" i="19"/>
  <c r="J10" i="19"/>
  <c r="B10" i="19"/>
  <c r="C10" i="19"/>
  <c r="H10" i="19"/>
  <c r="I10" i="19"/>
  <c r="L10" i="19"/>
  <c r="M10" i="19"/>
  <c r="N10" i="19"/>
  <c r="O10" i="19"/>
  <c r="C11" i="13"/>
  <c r="F3" i="21"/>
  <c r="E3" i="21"/>
  <c r="C6" i="21"/>
  <c r="D6" i="21"/>
  <c r="F6" i="21"/>
  <c r="C7" i="21"/>
  <c r="D7" i="21"/>
  <c r="E7" i="21"/>
  <c r="F7" i="21"/>
  <c r="C8" i="21"/>
  <c r="D8" i="21"/>
  <c r="E8" i="21"/>
  <c r="F8" i="21"/>
  <c r="C9" i="21"/>
  <c r="D9" i="21"/>
  <c r="E9" i="21"/>
  <c r="F9" i="21"/>
  <c r="C10" i="21"/>
  <c r="D10" i="21"/>
  <c r="E10" i="21"/>
  <c r="F10" i="21"/>
  <c r="C11" i="21"/>
  <c r="D11" i="21"/>
  <c r="E11" i="21"/>
  <c r="F11" i="21"/>
  <c r="C12" i="21"/>
  <c r="D12" i="21"/>
  <c r="F12" i="21"/>
  <c r="F13" i="21"/>
  <c r="D13" i="21"/>
  <c r="G13" i="21"/>
  <c r="G6" i="21"/>
  <c r="H6" i="21"/>
  <c r="I6" i="21"/>
  <c r="G7" i="21"/>
  <c r="I7" i="21"/>
  <c r="H8" i="21"/>
  <c r="G8" i="21"/>
  <c r="I8" i="21"/>
  <c r="G9" i="21"/>
  <c r="I9" i="21"/>
  <c r="H10" i="21"/>
  <c r="G10" i="21"/>
  <c r="I10" i="21"/>
  <c r="G11" i="21"/>
  <c r="I11" i="21"/>
  <c r="G12" i="21"/>
  <c r="H12" i="21"/>
  <c r="I12" i="21"/>
  <c r="I13" i="21"/>
  <c r="C3" i="21"/>
  <c r="B5" i="19"/>
  <c r="D3" i="21"/>
  <c r="C27" i="21"/>
  <c r="B3" i="21"/>
  <c r="B27" i="21"/>
  <c r="F27" i="21"/>
  <c r="E27" i="21"/>
  <c r="G27" i="21"/>
  <c r="H27" i="21"/>
  <c r="I27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J5" i="19"/>
  <c r="C5" i="19"/>
  <c r="D5" i="19"/>
  <c r="H5" i="19"/>
  <c r="I5" i="19"/>
  <c r="L5" i="19"/>
  <c r="M5" i="19"/>
  <c r="N5" i="19"/>
  <c r="O5" i="19"/>
  <c r="C22" i="21"/>
  <c r="D22" i="21"/>
  <c r="D23" i="21"/>
  <c r="G3" i="21"/>
  <c r="B30" i="21"/>
  <c r="B33" i="21"/>
  <c r="C33" i="21"/>
  <c r="E33" i="21"/>
  <c r="B36" i="21"/>
  <c r="C36" i="21"/>
  <c r="D11" i="13"/>
  <c r="E11" i="13"/>
  <c r="F11" i="13"/>
  <c r="G11" i="13"/>
  <c r="C12" i="13"/>
  <c r="D12" i="13"/>
  <c r="E12" i="13"/>
  <c r="F12" i="13"/>
  <c r="G12" i="13"/>
  <c r="C13" i="13"/>
  <c r="D13" i="13"/>
  <c r="E13" i="13"/>
  <c r="F13" i="13"/>
  <c r="G13" i="13"/>
  <c r="C14" i="13"/>
  <c r="D14" i="13"/>
  <c r="E14" i="13"/>
  <c r="F14" i="13"/>
  <c r="G14" i="13"/>
  <c r="C15" i="13"/>
  <c r="D15" i="13"/>
  <c r="E15" i="13"/>
  <c r="F15" i="13"/>
  <c r="G15" i="13"/>
  <c r="C16" i="13"/>
  <c r="D16" i="13"/>
  <c r="E16" i="13"/>
  <c r="F16" i="13"/>
  <c r="G16" i="13"/>
  <c r="C17" i="13"/>
  <c r="D17" i="13"/>
  <c r="E17" i="13"/>
  <c r="F17" i="13"/>
  <c r="G17" i="13"/>
  <c r="C18" i="13"/>
  <c r="B3" i="13"/>
  <c r="D18" i="13"/>
  <c r="E18" i="13"/>
  <c r="F18" i="13"/>
  <c r="G18" i="13"/>
  <c r="C20" i="13"/>
  <c r="D20" i="13"/>
  <c r="E20" i="13"/>
  <c r="F20" i="13"/>
  <c r="G20" i="13"/>
  <c r="C27" i="13"/>
  <c r="D27" i="13"/>
  <c r="E27" i="13"/>
  <c r="F27" i="13"/>
  <c r="G27" i="13"/>
  <c r="C19" i="13"/>
  <c r="D19" i="13"/>
  <c r="E19" i="13"/>
  <c r="F19" i="13"/>
  <c r="G19" i="13"/>
  <c r="C21" i="13"/>
  <c r="D21" i="13"/>
  <c r="E21" i="13"/>
  <c r="F21" i="13"/>
  <c r="G21" i="13"/>
  <c r="C22" i="13"/>
  <c r="H8" i="24"/>
  <c r="D8" i="24"/>
  <c r="E8" i="24"/>
  <c r="P14" i="24"/>
  <c r="R3" i="7"/>
  <c r="D22" i="13"/>
  <c r="E22" i="13"/>
  <c r="F22" i="13"/>
  <c r="G22" i="13"/>
  <c r="C23" i="13"/>
  <c r="D23" i="13"/>
  <c r="E23" i="13"/>
  <c r="F23" i="13"/>
  <c r="G23" i="13"/>
  <c r="C24" i="13"/>
  <c r="D24" i="13"/>
  <c r="E24" i="13"/>
  <c r="F24" i="13"/>
  <c r="G24" i="13"/>
  <c r="C25" i="13"/>
  <c r="D25" i="13"/>
  <c r="E25" i="13"/>
  <c r="F25" i="13"/>
  <c r="G25" i="13"/>
  <c r="C26" i="13"/>
  <c r="D26" i="13"/>
  <c r="E26" i="13"/>
  <c r="G26" i="13"/>
  <c r="C28" i="13"/>
  <c r="D28" i="13"/>
  <c r="E28" i="13"/>
  <c r="F28" i="13"/>
  <c r="G28" i="13"/>
  <c r="G31" i="13"/>
  <c r="E31" i="13"/>
  <c r="H31" i="13"/>
  <c r="H25" i="13"/>
  <c r="J25" i="13"/>
  <c r="F3" i="15"/>
  <c r="B10" i="14"/>
  <c r="E3" i="15"/>
  <c r="C6" i="15"/>
  <c r="D6" i="15"/>
  <c r="F6" i="15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F12" i="15"/>
  <c r="F13" i="15"/>
  <c r="D13" i="15"/>
  <c r="G13" i="15"/>
  <c r="G6" i="15"/>
  <c r="H6" i="15"/>
  <c r="I6" i="15"/>
  <c r="G7" i="15"/>
  <c r="I7" i="15"/>
  <c r="H8" i="15"/>
  <c r="G8" i="15"/>
  <c r="I8" i="15"/>
  <c r="G9" i="15"/>
  <c r="I9" i="15"/>
  <c r="H10" i="15"/>
  <c r="G10" i="15"/>
  <c r="I10" i="15"/>
  <c r="G11" i="15"/>
  <c r="I11" i="15"/>
  <c r="G12" i="15"/>
  <c r="H12" i="15"/>
  <c r="I12" i="15"/>
  <c r="I13" i="15"/>
  <c r="C3" i="15"/>
  <c r="B5" i="14"/>
  <c r="D3" i="15"/>
  <c r="C27" i="15"/>
  <c r="B3" i="15"/>
  <c r="B27" i="15"/>
  <c r="F27" i="15"/>
  <c r="E27" i="15"/>
  <c r="G27" i="15"/>
  <c r="H27" i="15"/>
  <c r="I27" i="15"/>
  <c r="D10" i="14"/>
  <c r="J10" i="14"/>
  <c r="C10" i="14"/>
  <c r="H10" i="14"/>
  <c r="I10" i="14"/>
  <c r="L10" i="14"/>
  <c r="M10" i="14"/>
  <c r="N10" i="14"/>
  <c r="O10" i="14"/>
  <c r="C16" i="15"/>
  <c r="D16" i="15"/>
  <c r="C17" i="15"/>
  <c r="D17" i="15"/>
  <c r="C18" i="15"/>
  <c r="D18" i="15"/>
  <c r="C19" i="15"/>
  <c r="D19" i="15"/>
  <c r="C20" i="15"/>
  <c r="D20" i="15"/>
  <c r="C21" i="15"/>
  <c r="D21" i="15"/>
  <c r="D5" i="14"/>
  <c r="J5" i="14"/>
  <c r="C5" i="14"/>
  <c r="H5" i="14"/>
  <c r="I5" i="14"/>
  <c r="L5" i="14"/>
  <c r="M5" i="14"/>
  <c r="N5" i="14"/>
  <c r="O5" i="14"/>
  <c r="C22" i="15"/>
  <c r="D22" i="15"/>
  <c r="D23" i="15"/>
  <c r="G3" i="15"/>
  <c r="B30" i="15"/>
  <c r="B33" i="15"/>
  <c r="C33" i="15"/>
  <c r="E33" i="15"/>
  <c r="B36" i="15"/>
  <c r="D10" i="22"/>
  <c r="J10" i="22"/>
  <c r="B10" i="22"/>
  <c r="C10" i="22"/>
  <c r="H10" i="22"/>
  <c r="I10" i="22"/>
  <c r="L10" i="22"/>
  <c r="M10" i="22"/>
  <c r="N10" i="22"/>
  <c r="O10" i="22"/>
  <c r="C11" i="17"/>
  <c r="F3" i="23"/>
  <c r="E3" i="23"/>
  <c r="C6" i="23"/>
  <c r="D6" i="23"/>
  <c r="F6" i="23"/>
  <c r="C7" i="23"/>
  <c r="D7" i="23"/>
  <c r="E7" i="23"/>
  <c r="F7" i="23"/>
  <c r="C8" i="23"/>
  <c r="D8" i="23"/>
  <c r="E8" i="23"/>
  <c r="F8" i="23"/>
  <c r="C9" i="23"/>
  <c r="D9" i="23"/>
  <c r="E9" i="23"/>
  <c r="F9" i="23"/>
  <c r="C10" i="23"/>
  <c r="D10" i="23"/>
  <c r="E10" i="23"/>
  <c r="F10" i="23"/>
  <c r="C11" i="23"/>
  <c r="D11" i="23"/>
  <c r="E11" i="23"/>
  <c r="F11" i="23"/>
  <c r="C12" i="23"/>
  <c r="D12" i="23"/>
  <c r="F12" i="23"/>
  <c r="F13" i="23"/>
  <c r="D13" i="23"/>
  <c r="G13" i="23"/>
  <c r="G6" i="23"/>
  <c r="H6" i="23"/>
  <c r="I6" i="23"/>
  <c r="G7" i="23"/>
  <c r="I7" i="23"/>
  <c r="H8" i="23"/>
  <c r="G8" i="23"/>
  <c r="I8" i="23"/>
  <c r="G9" i="23"/>
  <c r="I9" i="23"/>
  <c r="H10" i="23"/>
  <c r="G10" i="23"/>
  <c r="I10" i="23"/>
  <c r="G11" i="23"/>
  <c r="I11" i="23"/>
  <c r="G12" i="23"/>
  <c r="H12" i="23"/>
  <c r="I12" i="23"/>
  <c r="I13" i="23"/>
  <c r="C3" i="23"/>
  <c r="B5" i="22"/>
  <c r="D3" i="23"/>
  <c r="C27" i="23"/>
  <c r="B3" i="23"/>
  <c r="B27" i="23"/>
  <c r="F27" i="23"/>
  <c r="E27" i="23"/>
  <c r="G27" i="23"/>
  <c r="H27" i="23"/>
  <c r="I27" i="23"/>
  <c r="C16" i="23"/>
  <c r="D16" i="23"/>
  <c r="C17" i="23"/>
  <c r="D17" i="23"/>
  <c r="C18" i="23"/>
  <c r="D18" i="23"/>
  <c r="C19" i="23"/>
  <c r="D19" i="23"/>
  <c r="C20" i="23"/>
  <c r="D20" i="23"/>
  <c r="C21" i="23"/>
  <c r="D21" i="23"/>
  <c r="J5" i="22"/>
  <c r="C5" i="22"/>
  <c r="D5" i="22"/>
  <c r="H5" i="22"/>
  <c r="I5" i="22"/>
  <c r="L5" i="22"/>
  <c r="M5" i="22"/>
  <c r="N5" i="22"/>
  <c r="O5" i="22"/>
  <c r="C22" i="23"/>
  <c r="D22" i="23"/>
  <c r="D23" i="23"/>
  <c r="G3" i="23"/>
  <c r="B30" i="23"/>
  <c r="B33" i="23"/>
  <c r="C33" i="23"/>
  <c r="E33" i="23"/>
  <c r="B36" i="23"/>
  <c r="C36" i="23"/>
  <c r="D11" i="17"/>
  <c r="E11" i="17"/>
  <c r="F11" i="17"/>
  <c r="G11" i="17"/>
  <c r="C12" i="17"/>
  <c r="D12" i="17"/>
  <c r="E12" i="17"/>
  <c r="F12" i="17"/>
  <c r="G12" i="17"/>
  <c r="C13" i="17"/>
  <c r="D13" i="17"/>
  <c r="E13" i="17"/>
  <c r="F13" i="17"/>
  <c r="G13" i="17"/>
  <c r="C14" i="17"/>
  <c r="D14" i="17"/>
  <c r="E14" i="17"/>
  <c r="F14" i="17"/>
  <c r="G14" i="17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B3" i="17"/>
  <c r="D18" i="17"/>
  <c r="E18" i="17"/>
  <c r="F18" i="17"/>
  <c r="G18" i="17"/>
  <c r="C20" i="17"/>
  <c r="D20" i="17"/>
  <c r="E20" i="17"/>
  <c r="F20" i="17"/>
  <c r="G20" i="17"/>
  <c r="C27" i="17"/>
  <c r="D27" i="17"/>
  <c r="E27" i="17"/>
  <c r="F27" i="17"/>
  <c r="G27" i="17"/>
  <c r="C19" i="17"/>
  <c r="D19" i="17"/>
  <c r="E19" i="17"/>
  <c r="F19" i="17"/>
  <c r="G19" i="17"/>
  <c r="C21" i="17"/>
  <c r="D21" i="17"/>
  <c r="E21" i="17"/>
  <c r="F21" i="17"/>
  <c r="G21" i="17"/>
  <c r="C22" i="17"/>
  <c r="D22" i="17"/>
  <c r="E22" i="17"/>
  <c r="F22" i="17"/>
  <c r="G22" i="17"/>
  <c r="C23" i="17"/>
  <c r="D23" i="17"/>
  <c r="E23" i="17"/>
  <c r="F23" i="17"/>
  <c r="G23" i="17"/>
  <c r="C24" i="17"/>
  <c r="D24" i="17"/>
  <c r="E24" i="17"/>
  <c r="F24" i="17"/>
  <c r="G24" i="17"/>
  <c r="C25" i="17"/>
  <c r="D25" i="17"/>
  <c r="E25" i="17"/>
  <c r="F25" i="17"/>
  <c r="G25" i="17"/>
  <c r="C26" i="17"/>
  <c r="D26" i="17"/>
  <c r="E26" i="17"/>
  <c r="G26" i="17"/>
  <c r="C28" i="17"/>
  <c r="D28" i="17"/>
  <c r="E28" i="17"/>
  <c r="F28" i="17"/>
  <c r="G28" i="17"/>
  <c r="G31" i="17"/>
  <c r="E31" i="17"/>
  <c r="H31" i="17"/>
  <c r="H25" i="17"/>
  <c r="J25" i="17"/>
  <c r="H25" i="6"/>
  <c r="J25" i="6"/>
  <c r="L39" i="7"/>
  <c r="N39" i="7"/>
  <c r="L37" i="7"/>
  <c r="N37" i="7"/>
  <c r="J40" i="7"/>
  <c r="F17" i="7"/>
  <c r="F26" i="6"/>
  <c r="F27" i="7"/>
  <c r="D8" i="7"/>
  <c r="B3" i="3"/>
  <c r="C3" i="3"/>
  <c r="D3" i="3"/>
  <c r="F3" i="3"/>
  <c r="B6" i="3"/>
  <c r="C6" i="3"/>
  <c r="D3" i="6"/>
  <c r="C8" i="7"/>
  <c r="B3" i="12"/>
  <c r="D3" i="12"/>
  <c r="F3" i="12"/>
  <c r="C3" i="12"/>
  <c r="B6" i="12"/>
  <c r="B3" i="16"/>
  <c r="D33" i="11"/>
  <c r="D33" i="21"/>
  <c r="F26" i="13"/>
  <c r="D3" i="16"/>
  <c r="F3" i="16"/>
  <c r="C3" i="16"/>
  <c r="B6" i="16"/>
  <c r="I3" i="9"/>
  <c r="D27" i="2"/>
  <c r="D27" i="20"/>
  <c r="D27" i="11"/>
  <c r="D27" i="21"/>
  <c r="D27" i="15"/>
  <c r="D27" i="23"/>
  <c r="F26" i="7"/>
  <c r="F19" i="7"/>
  <c r="F18" i="7"/>
  <c r="D43" i="24"/>
  <c r="D41" i="24"/>
  <c r="M41" i="7"/>
  <c r="P2" i="7"/>
  <c r="O2" i="7"/>
  <c r="D40" i="24"/>
  <c r="D33" i="15"/>
  <c r="D33" i="23"/>
  <c r="C36" i="2"/>
  <c r="I50" i="7"/>
  <c r="E36" i="21"/>
  <c r="H11" i="13"/>
  <c r="I11" i="13"/>
  <c r="J11" i="13"/>
  <c r="J43" i="13"/>
  <c r="H13" i="13"/>
  <c r="I13" i="13"/>
  <c r="J13" i="13"/>
  <c r="J44" i="13"/>
  <c r="H14" i="13"/>
  <c r="J14" i="13"/>
  <c r="J45" i="13"/>
  <c r="H15" i="13"/>
  <c r="I15" i="13"/>
  <c r="J15" i="13"/>
  <c r="J46" i="13"/>
  <c r="H17" i="13"/>
  <c r="I17" i="13"/>
  <c r="J17" i="13"/>
  <c r="J47" i="13"/>
  <c r="H18" i="13"/>
  <c r="I18" i="13"/>
  <c r="J18" i="13"/>
  <c r="J48" i="13"/>
  <c r="H19" i="13"/>
  <c r="J19" i="13"/>
  <c r="J49" i="13"/>
  <c r="M38" i="7"/>
  <c r="I20" i="13"/>
  <c r="H20" i="13"/>
  <c r="J20" i="13"/>
  <c r="J50" i="13"/>
  <c r="H21" i="13"/>
  <c r="I21" i="13"/>
  <c r="J21" i="13"/>
  <c r="J51" i="13"/>
  <c r="H22" i="13"/>
  <c r="I22" i="13"/>
  <c r="J22" i="13"/>
  <c r="J52" i="13"/>
  <c r="H23" i="13"/>
  <c r="I23" i="13"/>
  <c r="J23" i="13"/>
  <c r="J53" i="13"/>
  <c r="H24" i="13"/>
  <c r="I24" i="13"/>
  <c r="J24" i="13"/>
  <c r="J54" i="13"/>
  <c r="J55" i="13"/>
  <c r="H26" i="13"/>
  <c r="M40" i="7"/>
  <c r="I26" i="13"/>
  <c r="J26" i="13"/>
  <c r="J56" i="13"/>
  <c r="H27" i="13"/>
  <c r="I27" i="13"/>
  <c r="J27" i="13"/>
  <c r="J57" i="13"/>
  <c r="H28" i="13"/>
  <c r="M42" i="7"/>
  <c r="I28" i="13"/>
  <c r="J28" i="13"/>
  <c r="J58" i="13"/>
  <c r="J59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H59" i="13"/>
  <c r="I58" i="13"/>
  <c r="H58" i="13"/>
  <c r="F58" i="13"/>
  <c r="D58" i="13"/>
  <c r="C58" i="13"/>
  <c r="I57" i="13"/>
  <c r="H57" i="13"/>
  <c r="F57" i="13"/>
  <c r="D57" i="13"/>
  <c r="C57" i="13"/>
  <c r="I56" i="13"/>
  <c r="H56" i="13"/>
  <c r="F56" i="13"/>
  <c r="D56" i="13"/>
  <c r="C56" i="13"/>
  <c r="I25" i="13"/>
  <c r="I55" i="13"/>
  <c r="H55" i="13"/>
  <c r="F55" i="13"/>
  <c r="D55" i="13"/>
  <c r="C55" i="13"/>
  <c r="I54" i="13"/>
  <c r="H54" i="13"/>
  <c r="F54" i="13"/>
  <c r="D54" i="13"/>
  <c r="C54" i="13"/>
  <c r="I53" i="13"/>
  <c r="H53" i="13"/>
  <c r="F53" i="13"/>
  <c r="D53" i="13"/>
  <c r="C53" i="13"/>
  <c r="I52" i="13"/>
  <c r="H52" i="13"/>
  <c r="F52" i="13"/>
  <c r="D52" i="13"/>
  <c r="C52" i="13"/>
  <c r="I51" i="13"/>
  <c r="H51" i="13"/>
  <c r="F51" i="13"/>
  <c r="D51" i="13"/>
  <c r="C51" i="13"/>
  <c r="I50" i="13"/>
  <c r="H50" i="13"/>
  <c r="F50" i="13"/>
  <c r="D50" i="13"/>
  <c r="C50" i="13"/>
  <c r="I19" i="13"/>
  <c r="I49" i="13"/>
  <c r="H49" i="13"/>
  <c r="F49" i="13"/>
  <c r="D49" i="13"/>
  <c r="C49" i="13"/>
  <c r="I48" i="13"/>
  <c r="H48" i="13"/>
  <c r="F48" i="13"/>
  <c r="D48" i="13"/>
  <c r="C48" i="13"/>
  <c r="I47" i="13"/>
  <c r="H47" i="13"/>
  <c r="F47" i="13"/>
  <c r="D47" i="13"/>
  <c r="C47" i="13"/>
  <c r="I46" i="13"/>
  <c r="H46" i="13"/>
  <c r="F46" i="13"/>
  <c r="D46" i="13"/>
  <c r="C46" i="13"/>
  <c r="I14" i="13"/>
  <c r="I45" i="13"/>
  <c r="H45" i="13"/>
  <c r="F45" i="13"/>
  <c r="D45" i="13"/>
  <c r="C45" i="13"/>
  <c r="I44" i="13"/>
  <c r="H44" i="13"/>
  <c r="F44" i="13"/>
  <c r="D44" i="13"/>
  <c r="C44" i="13"/>
  <c r="I43" i="13"/>
  <c r="H43" i="13"/>
  <c r="F43" i="13"/>
  <c r="D43" i="13"/>
  <c r="C43" i="13"/>
  <c r="C21" i="25"/>
  <c r="C20" i="25"/>
  <c r="C6" i="12"/>
  <c r="D6" i="12"/>
  <c r="C15" i="25"/>
  <c r="C14" i="25"/>
  <c r="C13" i="25"/>
  <c r="G3" i="12"/>
  <c r="H3" i="12"/>
  <c r="C12" i="25"/>
  <c r="C11" i="25"/>
  <c r="C10" i="25"/>
  <c r="C9" i="25"/>
  <c r="C8" i="25"/>
  <c r="C7" i="25"/>
  <c r="C6" i="25"/>
  <c r="C5" i="25"/>
  <c r="C4" i="25"/>
  <c r="C3" i="25"/>
  <c r="C16" i="25"/>
  <c r="E36" i="23"/>
  <c r="F26" i="17"/>
  <c r="D21" i="25"/>
  <c r="D20" i="25"/>
  <c r="C6" i="16"/>
  <c r="D6" i="16"/>
  <c r="D15" i="25"/>
  <c r="D14" i="25"/>
  <c r="D13" i="25"/>
  <c r="G3" i="16"/>
  <c r="H3" i="16"/>
  <c r="D12" i="25"/>
  <c r="D11" i="25"/>
  <c r="D10" i="25"/>
  <c r="D9" i="25"/>
  <c r="D8" i="25"/>
  <c r="D7" i="25"/>
  <c r="D6" i="25"/>
  <c r="D5" i="25"/>
  <c r="D4" i="25"/>
  <c r="D3" i="25"/>
  <c r="D41" i="2"/>
  <c r="D45" i="2"/>
  <c r="D42" i="2"/>
  <c r="D43" i="2"/>
  <c r="D44" i="2"/>
  <c r="D46" i="2"/>
  <c r="E3" i="9"/>
  <c r="F3" i="9"/>
  <c r="H3" i="9"/>
  <c r="B19" i="9"/>
  <c r="B3" i="9"/>
  <c r="J3" i="9"/>
  <c r="E24" i="9"/>
  <c r="M3" i="7"/>
  <c r="J24" i="9"/>
  <c r="K24" i="9"/>
  <c r="C36" i="11"/>
  <c r="E43" i="17"/>
  <c r="E44" i="17"/>
  <c r="E45" i="17"/>
  <c r="E46" i="17"/>
  <c r="E47" i="17"/>
  <c r="E48" i="17"/>
  <c r="E50" i="17"/>
  <c r="E49" i="17"/>
  <c r="E51" i="17"/>
  <c r="E52" i="17"/>
  <c r="E53" i="17"/>
  <c r="E54" i="17"/>
  <c r="E55" i="17"/>
  <c r="E56" i="17"/>
  <c r="E57" i="17"/>
  <c r="E58" i="17"/>
  <c r="E59" i="17"/>
  <c r="D50" i="17"/>
  <c r="F50" i="17"/>
  <c r="G50" i="17"/>
  <c r="H20" i="17"/>
  <c r="H50" i="17"/>
  <c r="I20" i="17"/>
  <c r="I50" i="17"/>
  <c r="J20" i="17"/>
  <c r="J50" i="17"/>
  <c r="D51" i="17"/>
  <c r="F51" i="17"/>
  <c r="G51" i="17"/>
  <c r="H21" i="17"/>
  <c r="H51" i="17"/>
  <c r="I21" i="17"/>
  <c r="I51" i="17"/>
  <c r="J21" i="17"/>
  <c r="J51" i="17"/>
  <c r="D52" i="17"/>
  <c r="F52" i="17"/>
  <c r="G52" i="17"/>
  <c r="H22" i="17"/>
  <c r="H52" i="17"/>
  <c r="I22" i="17"/>
  <c r="I52" i="17"/>
  <c r="J22" i="17"/>
  <c r="J52" i="17"/>
  <c r="D53" i="17"/>
  <c r="F53" i="17"/>
  <c r="G53" i="17"/>
  <c r="H23" i="17"/>
  <c r="H53" i="17"/>
  <c r="I23" i="17"/>
  <c r="I53" i="17"/>
  <c r="J23" i="17"/>
  <c r="J53" i="17"/>
  <c r="D54" i="17"/>
  <c r="F54" i="17"/>
  <c r="G54" i="17"/>
  <c r="H24" i="17"/>
  <c r="H54" i="17"/>
  <c r="I24" i="17"/>
  <c r="I54" i="17"/>
  <c r="J24" i="17"/>
  <c r="J54" i="17"/>
  <c r="D55" i="17"/>
  <c r="F55" i="17"/>
  <c r="G55" i="17"/>
  <c r="H55" i="17"/>
  <c r="I25" i="17"/>
  <c r="I55" i="17"/>
  <c r="J55" i="17"/>
  <c r="D56" i="17"/>
  <c r="F56" i="17"/>
  <c r="G56" i="17"/>
  <c r="H26" i="17"/>
  <c r="H56" i="17"/>
  <c r="I26" i="17"/>
  <c r="I56" i="17"/>
  <c r="J26" i="17"/>
  <c r="J56" i="17"/>
  <c r="D57" i="17"/>
  <c r="F57" i="17"/>
  <c r="G57" i="17"/>
  <c r="H27" i="17"/>
  <c r="H57" i="17"/>
  <c r="I27" i="17"/>
  <c r="I57" i="17"/>
  <c r="J27" i="17"/>
  <c r="J57" i="17"/>
  <c r="D58" i="17"/>
  <c r="F58" i="17"/>
  <c r="G58" i="17"/>
  <c r="H28" i="17"/>
  <c r="H58" i="17"/>
  <c r="I28" i="17"/>
  <c r="I58" i="17"/>
  <c r="J28" i="17"/>
  <c r="J58" i="17"/>
  <c r="C51" i="17"/>
  <c r="C52" i="17"/>
  <c r="C53" i="17"/>
  <c r="C54" i="17"/>
  <c r="C55" i="17"/>
  <c r="C56" i="17"/>
  <c r="C57" i="17"/>
  <c r="C58" i="17"/>
  <c r="D43" i="17"/>
  <c r="F43" i="17"/>
  <c r="G43" i="17"/>
  <c r="H11" i="17"/>
  <c r="H43" i="17"/>
  <c r="I11" i="17"/>
  <c r="I43" i="17"/>
  <c r="J11" i="17"/>
  <c r="J43" i="17"/>
  <c r="D44" i="17"/>
  <c r="F44" i="17"/>
  <c r="G44" i="17"/>
  <c r="H13" i="17"/>
  <c r="H44" i="17"/>
  <c r="I13" i="17"/>
  <c r="I44" i="17"/>
  <c r="J13" i="17"/>
  <c r="J44" i="17"/>
  <c r="D45" i="17"/>
  <c r="F45" i="17"/>
  <c r="G45" i="17"/>
  <c r="H14" i="17"/>
  <c r="H45" i="17"/>
  <c r="I14" i="17"/>
  <c r="I45" i="17"/>
  <c r="J14" i="17"/>
  <c r="J45" i="17"/>
  <c r="D46" i="17"/>
  <c r="F46" i="17"/>
  <c r="G46" i="17"/>
  <c r="H15" i="17"/>
  <c r="H46" i="17"/>
  <c r="I15" i="17"/>
  <c r="I46" i="17"/>
  <c r="J15" i="17"/>
  <c r="J46" i="17"/>
  <c r="D47" i="17"/>
  <c r="F47" i="17"/>
  <c r="G47" i="17"/>
  <c r="H17" i="17"/>
  <c r="H47" i="17"/>
  <c r="I17" i="17"/>
  <c r="I47" i="17"/>
  <c r="J17" i="17"/>
  <c r="J47" i="17"/>
  <c r="D48" i="17"/>
  <c r="F48" i="17"/>
  <c r="G48" i="17"/>
  <c r="H18" i="17"/>
  <c r="H48" i="17"/>
  <c r="I18" i="17"/>
  <c r="I48" i="17"/>
  <c r="J18" i="17"/>
  <c r="J48" i="17"/>
  <c r="D49" i="17"/>
  <c r="F49" i="17"/>
  <c r="G49" i="17"/>
  <c r="H19" i="17"/>
  <c r="H49" i="17"/>
  <c r="I19" i="17"/>
  <c r="I49" i="17"/>
  <c r="J19" i="17"/>
  <c r="J49" i="17"/>
  <c r="C48" i="17"/>
  <c r="C49" i="17"/>
  <c r="C50" i="17"/>
  <c r="C47" i="17"/>
  <c r="C45" i="17"/>
  <c r="C46" i="17"/>
  <c r="C44" i="17"/>
  <c r="C43" i="17"/>
  <c r="J59" i="17"/>
  <c r="G59" i="17"/>
  <c r="H59" i="17"/>
  <c r="D3" i="17"/>
  <c r="C3" i="17"/>
  <c r="C36" i="15"/>
  <c r="D16" i="25"/>
  <c r="E43" i="6"/>
  <c r="E44" i="6"/>
  <c r="E45" i="6"/>
  <c r="E46" i="6"/>
  <c r="E47" i="6"/>
  <c r="E48" i="6"/>
  <c r="E49" i="6"/>
  <c r="E50" i="6"/>
  <c r="E51" i="6"/>
  <c r="E52" i="6"/>
  <c r="E53" i="6"/>
  <c r="E54" i="6"/>
  <c r="D43" i="6"/>
  <c r="D44" i="6"/>
  <c r="D45" i="6"/>
  <c r="D46" i="6"/>
  <c r="D47" i="6"/>
  <c r="D48" i="6"/>
  <c r="D49" i="6"/>
  <c r="D50" i="6"/>
  <c r="D51" i="6"/>
  <c r="D52" i="6"/>
  <c r="D53" i="6"/>
  <c r="D54" i="6"/>
  <c r="E55" i="6"/>
  <c r="F43" i="6"/>
  <c r="G43" i="6"/>
  <c r="H11" i="6"/>
  <c r="H43" i="6"/>
  <c r="I11" i="6"/>
  <c r="I43" i="6"/>
  <c r="J11" i="6"/>
  <c r="J43" i="6"/>
  <c r="F44" i="6"/>
  <c r="G44" i="6"/>
  <c r="H13" i="6"/>
  <c r="H44" i="6"/>
  <c r="I13" i="6"/>
  <c r="I44" i="6"/>
  <c r="J13" i="6"/>
  <c r="J44" i="6"/>
  <c r="F45" i="6"/>
  <c r="G45" i="6"/>
  <c r="H14" i="6"/>
  <c r="H45" i="6"/>
  <c r="I14" i="6"/>
  <c r="I45" i="6"/>
  <c r="J14" i="6"/>
  <c r="J45" i="6"/>
  <c r="F46" i="6"/>
  <c r="G46" i="6"/>
  <c r="H15" i="6"/>
  <c r="H46" i="6"/>
  <c r="I15" i="6"/>
  <c r="I46" i="6"/>
  <c r="J15" i="6"/>
  <c r="J46" i="6"/>
  <c r="F47" i="6"/>
  <c r="G47" i="6"/>
  <c r="H17" i="6"/>
  <c r="H47" i="6"/>
  <c r="I17" i="6"/>
  <c r="I47" i="6"/>
  <c r="J17" i="6"/>
  <c r="J47" i="6"/>
  <c r="F48" i="6"/>
  <c r="G48" i="6"/>
  <c r="H18" i="6"/>
  <c r="H48" i="6"/>
  <c r="I18" i="6"/>
  <c r="I48" i="6"/>
  <c r="J18" i="6"/>
  <c r="J48" i="6"/>
  <c r="F49" i="6"/>
  <c r="G49" i="6"/>
  <c r="H19" i="6"/>
  <c r="H49" i="6"/>
  <c r="I19" i="6"/>
  <c r="I49" i="6"/>
  <c r="J19" i="6"/>
  <c r="J49" i="6"/>
  <c r="F50" i="6"/>
  <c r="G50" i="6"/>
  <c r="H20" i="6"/>
  <c r="H50" i="6"/>
  <c r="I20" i="6"/>
  <c r="I50" i="6"/>
  <c r="J20" i="6"/>
  <c r="J50" i="6"/>
  <c r="F51" i="6"/>
  <c r="G51" i="6"/>
  <c r="H51" i="6"/>
  <c r="I25" i="6"/>
  <c r="I51" i="6"/>
  <c r="J51" i="6"/>
  <c r="F52" i="6"/>
  <c r="G52" i="6"/>
  <c r="H26" i="6"/>
  <c r="H52" i="6"/>
  <c r="I26" i="6"/>
  <c r="I52" i="6"/>
  <c r="J26" i="6"/>
  <c r="J52" i="6"/>
  <c r="F53" i="6"/>
  <c r="G53" i="6"/>
  <c r="H27" i="6"/>
  <c r="H53" i="6"/>
  <c r="I27" i="6"/>
  <c r="I53" i="6"/>
  <c r="J27" i="6"/>
  <c r="J53" i="6"/>
  <c r="F54" i="6"/>
  <c r="G54" i="6"/>
  <c r="H28" i="6"/>
  <c r="H54" i="6"/>
  <c r="I28" i="6"/>
  <c r="I54" i="6"/>
  <c r="J28" i="6"/>
  <c r="J54" i="6"/>
  <c r="C52" i="6"/>
  <c r="C53" i="6"/>
  <c r="C54" i="6"/>
  <c r="C51" i="6"/>
  <c r="C48" i="6"/>
  <c r="C49" i="6"/>
  <c r="C50" i="6"/>
  <c r="C47" i="6"/>
  <c r="C45" i="6"/>
  <c r="C46" i="6"/>
  <c r="C44" i="6"/>
  <c r="C43" i="6"/>
  <c r="J55" i="6"/>
  <c r="G55" i="6"/>
  <c r="H55" i="6"/>
  <c r="Q4" i="7"/>
  <c r="I54" i="2"/>
  <c r="F54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9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C53" i="2"/>
  <c r="C51" i="2"/>
  <c r="C52" i="2"/>
  <c r="C50" i="2"/>
  <c r="C49" i="2"/>
  <c r="D54" i="2"/>
  <c r="G54" i="2"/>
  <c r="D33" i="2"/>
  <c r="C45" i="2"/>
  <c r="C44" i="2"/>
  <c r="C43" i="2"/>
  <c r="C42" i="2"/>
  <c r="C41" i="2"/>
  <c r="E36" i="2"/>
  <c r="G36" i="2"/>
  <c r="L61" i="7"/>
  <c r="J61" i="7"/>
  <c r="M61" i="7"/>
  <c r="I51" i="7"/>
  <c r="Q51" i="7"/>
  <c r="I52" i="7"/>
  <c r="Q52" i="7"/>
  <c r="I53" i="7"/>
  <c r="Q53" i="7"/>
  <c r="I54" i="7"/>
  <c r="Q54" i="7"/>
  <c r="I55" i="7"/>
  <c r="Q55" i="7"/>
  <c r="I56" i="7"/>
  <c r="Q56" i="7"/>
  <c r="I57" i="7"/>
  <c r="Q57" i="7"/>
  <c r="I58" i="7"/>
  <c r="Q58" i="7"/>
  <c r="I59" i="7"/>
  <c r="Q59" i="7"/>
  <c r="I60" i="7"/>
  <c r="Q60" i="7"/>
  <c r="Q50" i="7"/>
  <c r="J51" i="7"/>
  <c r="K51" i="7"/>
  <c r="L51" i="7"/>
  <c r="L32" i="7"/>
  <c r="M51" i="7"/>
  <c r="N51" i="7"/>
  <c r="N32" i="7"/>
  <c r="O51" i="7"/>
  <c r="J52" i="7"/>
  <c r="K52" i="7"/>
  <c r="L52" i="7"/>
  <c r="L33" i="7"/>
  <c r="M52" i="7"/>
  <c r="N52" i="7"/>
  <c r="N33" i="7"/>
  <c r="O52" i="7"/>
  <c r="J53" i="7"/>
  <c r="K53" i="7"/>
  <c r="L53" i="7"/>
  <c r="L34" i="7"/>
  <c r="M53" i="7"/>
  <c r="N53" i="7"/>
  <c r="N34" i="7"/>
  <c r="O53" i="7"/>
  <c r="L35" i="7"/>
  <c r="N35" i="7"/>
  <c r="J54" i="7"/>
  <c r="K54" i="7"/>
  <c r="L54" i="7"/>
  <c r="L36" i="7"/>
  <c r="M54" i="7"/>
  <c r="N54" i="7"/>
  <c r="N36" i="7"/>
  <c r="O54" i="7"/>
  <c r="J55" i="7"/>
  <c r="K55" i="7"/>
  <c r="L55" i="7"/>
  <c r="M55" i="7"/>
  <c r="N55" i="7"/>
  <c r="O55" i="7"/>
  <c r="J56" i="7"/>
  <c r="K56" i="7"/>
  <c r="L56" i="7"/>
  <c r="L38" i="7"/>
  <c r="M56" i="7"/>
  <c r="N56" i="7"/>
  <c r="N38" i="7"/>
  <c r="O56" i="7"/>
  <c r="J57" i="7"/>
  <c r="K57" i="7"/>
  <c r="L57" i="7"/>
  <c r="M57" i="7"/>
  <c r="N57" i="7"/>
  <c r="O57" i="7"/>
  <c r="J58" i="7"/>
  <c r="K58" i="7"/>
  <c r="L58" i="7"/>
  <c r="L40" i="7"/>
  <c r="M58" i="7"/>
  <c r="N58" i="7"/>
  <c r="N40" i="7"/>
  <c r="O58" i="7"/>
  <c r="J59" i="7"/>
  <c r="K59" i="7"/>
  <c r="L59" i="7"/>
  <c r="L41" i="7"/>
  <c r="M59" i="7"/>
  <c r="N59" i="7"/>
  <c r="N41" i="7"/>
  <c r="O59" i="7"/>
  <c r="J60" i="7"/>
  <c r="K60" i="7"/>
  <c r="L60" i="7"/>
  <c r="L42" i="7"/>
  <c r="M60" i="7"/>
  <c r="N60" i="7"/>
  <c r="N42" i="7"/>
  <c r="O60" i="7"/>
  <c r="N61" i="7"/>
  <c r="L30" i="7"/>
  <c r="N30" i="7"/>
  <c r="L31" i="7"/>
  <c r="N31" i="7"/>
  <c r="N45" i="7"/>
  <c r="O61" i="7"/>
  <c r="K50" i="7"/>
  <c r="L50" i="7"/>
  <c r="M50" i="7"/>
  <c r="N50" i="7"/>
  <c r="O50" i="7"/>
  <c r="J50" i="7"/>
  <c r="E36" i="20"/>
  <c r="D44" i="24"/>
  <c r="D42" i="24"/>
  <c r="I8" i="24"/>
  <c r="C24" i="7"/>
  <c r="A3" i="7"/>
  <c r="F3" i="7"/>
  <c r="E26" i="9"/>
  <c r="J26" i="9"/>
  <c r="K26" i="9"/>
  <c r="G53" i="24"/>
  <c r="L19" i="7"/>
  <c r="H12" i="17"/>
  <c r="J12" i="17"/>
  <c r="H16" i="17"/>
  <c r="J16" i="17"/>
  <c r="J31" i="17"/>
  <c r="H32" i="17"/>
  <c r="C33" i="17"/>
  <c r="C34" i="17"/>
  <c r="C35" i="17"/>
  <c r="B38" i="17"/>
  <c r="B39" i="17"/>
  <c r="C53" i="24"/>
  <c r="G3" i="3"/>
  <c r="H12" i="6"/>
  <c r="J12" i="6"/>
  <c r="H16" i="6"/>
  <c r="J16" i="6"/>
  <c r="H21" i="6"/>
  <c r="I21" i="6"/>
  <c r="J21" i="6"/>
  <c r="H22" i="6"/>
  <c r="I22" i="6"/>
  <c r="J22" i="6"/>
  <c r="H23" i="6"/>
  <c r="I23" i="6"/>
  <c r="J23" i="6"/>
  <c r="H24" i="6"/>
  <c r="I24" i="6"/>
  <c r="J24" i="6"/>
  <c r="J31" i="6"/>
  <c r="H32" i="6"/>
  <c r="C33" i="6"/>
  <c r="D39" i="17"/>
  <c r="H12" i="13"/>
  <c r="J12" i="13"/>
  <c r="H16" i="13"/>
  <c r="J16" i="13"/>
  <c r="J31" i="13"/>
  <c r="H32" i="13"/>
  <c r="C33" i="13"/>
  <c r="E36" i="15"/>
  <c r="G36" i="15"/>
  <c r="G36" i="23"/>
  <c r="L20" i="23"/>
  <c r="H11" i="23"/>
  <c r="L10" i="23"/>
  <c r="H9" i="23"/>
  <c r="H7" i="23"/>
  <c r="H3" i="23"/>
  <c r="E10" i="22"/>
  <c r="E5" i="22"/>
  <c r="L20" i="15"/>
  <c r="N46" i="7"/>
  <c r="N47" i="7"/>
  <c r="I46" i="7"/>
  <c r="I47" i="7"/>
  <c r="G36" i="21"/>
  <c r="L20" i="21"/>
  <c r="H11" i="21"/>
  <c r="L10" i="21"/>
  <c r="H9" i="21"/>
  <c r="H7" i="21"/>
  <c r="H3" i="21"/>
  <c r="L20" i="11"/>
  <c r="G36" i="20"/>
  <c r="D33" i="20"/>
  <c r="L20" i="20"/>
  <c r="H11" i="20"/>
  <c r="L10" i="20"/>
  <c r="H9" i="20"/>
  <c r="H7" i="20"/>
  <c r="H3" i="20"/>
  <c r="L20" i="2"/>
  <c r="E36" i="11"/>
  <c r="G36" i="11"/>
  <c r="C34" i="13"/>
  <c r="C35" i="13"/>
  <c r="D3" i="13"/>
  <c r="B38" i="13"/>
  <c r="B39" i="13"/>
  <c r="D6" i="3"/>
  <c r="E6" i="3"/>
  <c r="E6" i="12"/>
  <c r="E10" i="19"/>
  <c r="E5" i="19"/>
  <c r="E10" i="18"/>
  <c r="E5" i="18"/>
  <c r="D39" i="13"/>
  <c r="C34" i="6"/>
  <c r="C35" i="6"/>
  <c r="B38" i="6"/>
  <c r="J32" i="6"/>
  <c r="J33" i="6"/>
  <c r="J32" i="17"/>
  <c r="J33" i="17"/>
  <c r="K37" i="17"/>
  <c r="E38" i="17"/>
  <c r="E38" i="6"/>
  <c r="C12" i="9"/>
  <c r="E25" i="9"/>
  <c r="J25" i="9"/>
  <c r="K25" i="9"/>
  <c r="F19" i="9"/>
  <c r="C19" i="9"/>
  <c r="N27" i="17"/>
  <c r="N25" i="17"/>
  <c r="N19" i="17"/>
  <c r="N17" i="17"/>
  <c r="I16" i="17"/>
  <c r="N16" i="17"/>
  <c r="N14" i="17"/>
  <c r="I12" i="17"/>
  <c r="N12" i="17"/>
  <c r="N11" i="17"/>
  <c r="H11" i="15"/>
  <c r="H9" i="15"/>
  <c r="H7" i="15"/>
  <c r="H3" i="15"/>
  <c r="E10" i="14"/>
  <c r="E5" i="14"/>
  <c r="I16" i="13"/>
  <c r="I12" i="13"/>
  <c r="C3" i="13"/>
  <c r="H11" i="11"/>
  <c r="H9" i="11"/>
  <c r="H7" i="11"/>
  <c r="H3" i="11"/>
  <c r="E10" i="10"/>
  <c r="E5" i="10"/>
  <c r="C7" i="9"/>
  <c r="C8" i="9"/>
  <c r="C9" i="9"/>
  <c r="C13" i="9"/>
  <c r="C6" i="9"/>
  <c r="D4" i="7"/>
  <c r="B3" i="8"/>
  <c r="G13" i="8"/>
  <c r="I16" i="6"/>
  <c r="H11" i="2"/>
  <c r="N15" i="17"/>
  <c r="N13" i="17"/>
  <c r="C10" i="9"/>
  <c r="C3" i="8"/>
  <c r="E3" i="8"/>
  <c r="C9" i="8"/>
  <c r="N20" i="17"/>
  <c r="D45" i="7"/>
  <c r="E10" i="1"/>
  <c r="C3" i="6"/>
  <c r="H3" i="2"/>
  <c r="E5" i="1"/>
  <c r="E45" i="7"/>
  <c r="H7" i="2"/>
  <c r="I12" i="6"/>
  <c r="C11" i="9"/>
  <c r="C45" i="7"/>
  <c r="C46" i="7"/>
  <c r="N26" i="17"/>
  <c r="D19" i="9"/>
  <c r="H3" i="3"/>
  <c r="M25" i="9"/>
  <c r="M24" i="9"/>
  <c r="O24" i="9"/>
  <c r="G3" i="8"/>
  <c r="D3" i="8"/>
  <c r="B6" i="8"/>
  <c r="P41" i="7"/>
  <c r="A9" i="8"/>
  <c r="B9" i="8"/>
  <c r="B13" i="8"/>
  <c r="C13" i="8"/>
  <c r="D13" i="8"/>
  <c r="E13" i="8"/>
  <c r="H13" i="8"/>
  <c r="L10" i="2"/>
  <c r="L10" i="11"/>
  <c r="B39" i="6"/>
  <c r="J32" i="13"/>
  <c r="J33" i="13"/>
  <c r="L10" i="15"/>
  <c r="O27" i="17"/>
  <c r="O16" i="17"/>
  <c r="O17" i="17"/>
  <c r="O25" i="17"/>
  <c r="O14" i="17"/>
  <c r="O15" i="17"/>
  <c r="O19" i="17"/>
  <c r="O12" i="17"/>
  <c r="O26" i="17"/>
  <c r="O13" i="17"/>
  <c r="O20" i="17"/>
  <c r="O11" i="17"/>
  <c r="O31" i="17"/>
  <c r="O32" i="17"/>
</calcChain>
</file>

<file path=xl/sharedStrings.xml><?xml version="1.0" encoding="utf-8"?>
<sst xmlns="http://schemas.openxmlformats.org/spreadsheetml/2006/main" count="949" uniqueCount="233">
  <si>
    <t>t</t>
  </si>
  <si>
    <t>k</t>
  </si>
  <si>
    <t>E (N/mm²)</t>
  </si>
  <si>
    <t>ρ</t>
  </si>
  <si>
    <t>be1=be2</t>
  </si>
  <si>
    <t>Elément</t>
  </si>
  <si>
    <t>total</t>
  </si>
  <si>
    <t>h</t>
  </si>
  <si>
    <t>Calcul de la position de l'axe neutre de la section</t>
  </si>
  <si>
    <t>λ</t>
  </si>
  <si>
    <t>α</t>
  </si>
  <si>
    <t>χ</t>
  </si>
  <si>
    <t>I/t</t>
  </si>
  <si>
    <t>M</t>
  </si>
  <si>
    <t>Element</t>
  </si>
  <si>
    <t>zcg</t>
  </si>
  <si>
    <t>partie extérieure</t>
  </si>
  <si>
    <t>partie centrale</t>
  </si>
  <si>
    <r>
      <t>θ</t>
    </r>
    <r>
      <rPr>
        <vertAlign val="subscript"/>
        <sz val="11"/>
        <color theme="1"/>
        <rFont val="Times New Roman"/>
        <family val="1"/>
      </rPr>
      <t>1</t>
    </r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</si>
  <si>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</si>
  <si>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r>
      <t>θ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</si>
  <si>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f</t>
    </r>
    <r>
      <rPr>
        <vertAlign val="subscript"/>
        <sz val="11"/>
        <color theme="1"/>
        <rFont val="Times New Roman"/>
        <family val="1"/>
      </rPr>
      <t xml:space="preserve">yb </t>
    </r>
    <r>
      <rPr>
        <sz val="11"/>
        <color theme="1"/>
        <rFont val="Times New Roman"/>
        <family val="1"/>
      </rPr>
      <t>(N/mm²)</t>
    </r>
  </si>
  <si>
    <r>
      <t>b</t>
    </r>
    <r>
      <rPr>
        <vertAlign val="subscript"/>
        <sz val="11"/>
        <color theme="1"/>
        <rFont val="Times New Roman"/>
        <family val="1"/>
      </rPr>
      <t>p</t>
    </r>
  </si>
  <si>
    <r>
      <t>λ</t>
    </r>
    <r>
      <rPr>
        <vertAlign val="subscript"/>
        <sz val="11"/>
        <color theme="1"/>
        <rFont val="Times New Roman"/>
        <family val="1"/>
      </rPr>
      <t>p</t>
    </r>
  </si>
  <si>
    <r>
      <t>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=ρ*b</t>
    </r>
    <r>
      <rPr>
        <vertAlign val="subscript"/>
        <sz val="11"/>
        <color theme="1"/>
        <rFont val="Times New Roman"/>
        <family val="1"/>
      </rPr>
      <t>p</t>
    </r>
  </si>
  <si>
    <r>
      <t>b</t>
    </r>
    <r>
      <rPr>
        <vertAlign val="subscript"/>
        <sz val="11"/>
        <color theme="1"/>
        <rFont val="Times New Roman"/>
        <family val="1"/>
      </rPr>
      <t>s</t>
    </r>
  </si>
  <si>
    <r>
      <t>b</t>
    </r>
    <r>
      <rPr>
        <vertAlign val="subscript"/>
        <sz val="11"/>
        <color theme="1"/>
        <rFont val="Times New Roman"/>
        <family val="1"/>
      </rPr>
      <t>r</t>
    </r>
  </si>
  <si>
    <r>
      <t>b</t>
    </r>
    <r>
      <rPr>
        <vertAlign val="subscript"/>
        <sz val="11"/>
        <color theme="1"/>
        <rFont val="Times New Roman"/>
        <family val="1"/>
      </rPr>
      <t>e</t>
    </r>
  </si>
  <si>
    <r>
      <t>b</t>
    </r>
    <r>
      <rPr>
        <vertAlign val="subscript"/>
        <sz val="11"/>
        <color theme="1"/>
        <rFont val="Times New Roman"/>
        <family val="1"/>
      </rPr>
      <t>1</t>
    </r>
  </si>
  <si>
    <r>
      <t>h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</si>
  <si>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w</t>
    </r>
  </si>
  <si>
    <r>
      <t>l</t>
    </r>
    <r>
      <rPr>
        <vertAlign val="subscript"/>
        <sz val="11"/>
        <color theme="1"/>
        <rFont val="Times New Roman"/>
        <family val="1"/>
      </rPr>
      <t>b</t>
    </r>
  </si>
  <si>
    <r>
      <t>l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&gt;2</t>
    </r>
  </si>
  <si>
    <r>
      <t>k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</si>
  <si>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eff,0</t>
    </r>
  </si>
  <si>
    <r>
      <t>s</t>
    </r>
    <r>
      <rPr>
        <vertAlign val="subscript"/>
        <sz val="11"/>
        <color theme="1"/>
        <rFont val="Times New Roman"/>
        <family val="1"/>
      </rPr>
      <t>eff,1</t>
    </r>
  </si>
  <si>
    <r>
      <t>s</t>
    </r>
    <r>
      <rPr>
        <vertAlign val="subscript"/>
        <sz val="11"/>
        <color theme="1"/>
        <rFont val="Times New Roman"/>
        <family val="1"/>
      </rPr>
      <t>n</t>
    </r>
  </si>
  <si>
    <r>
      <t>I</t>
    </r>
    <r>
      <rPr>
        <vertAlign val="subscript"/>
        <sz val="11"/>
        <color theme="1"/>
        <rFont val="Times New Roman"/>
        <family val="1"/>
      </rPr>
      <t>1</t>
    </r>
  </si>
  <si>
    <r>
      <t>I</t>
    </r>
    <r>
      <rPr>
        <vertAlign val="subscript"/>
        <sz val="11"/>
        <color theme="1"/>
        <rFont val="Times New Roman"/>
        <family val="1"/>
      </rPr>
      <t>2</t>
    </r>
  </si>
  <si>
    <r>
      <t>I</t>
    </r>
    <r>
      <rPr>
        <vertAlign val="subscript"/>
        <sz val="11"/>
        <color theme="1"/>
        <rFont val="Times New Roman"/>
        <family val="1"/>
      </rPr>
      <t>3</t>
    </r>
  </si>
  <si>
    <r>
      <t>I</t>
    </r>
    <r>
      <rPr>
        <vertAlign val="subscript"/>
        <sz val="11"/>
        <color theme="1"/>
        <rFont val="Times New Roman"/>
        <family val="1"/>
      </rPr>
      <t>4</t>
    </r>
  </si>
  <si>
    <r>
      <t>I</t>
    </r>
    <r>
      <rPr>
        <vertAlign val="subscript"/>
        <sz val="11"/>
        <color theme="1"/>
        <rFont val="Times New Roman"/>
        <family val="1"/>
      </rPr>
      <t>5</t>
    </r>
  </si>
  <si>
    <r>
      <t>I</t>
    </r>
    <r>
      <rPr>
        <vertAlign val="subscript"/>
        <sz val="11"/>
        <color theme="1"/>
        <rFont val="Times New Roman"/>
        <family val="1"/>
      </rPr>
      <t>6</t>
    </r>
  </si>
  <si>
    <r>
      <t>I</t>
    </r>
    <r>
      <rPr>
        <vertAlign val="subscript"/>
        <sz val="11"/>
        <color theme="1"/>
        <rFont val="Times New Roman"/>
        <family val="1"/>
      </rPr>
      <t>7</t>
    </r>
  </si>
  <si>
    <r>
      <t>L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*t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/12+A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</si>
  <si>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*t*h²/12+A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</si>
  <si>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</si>
  <si>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t>z(mm)</t>
  </si>
  <si>
    <t>z0(mm)</t>
  </si>
  <si>
    <r>
      <t>A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(mm²)</t>
    </r>
  </si>
  <si>
    <r>
      <t>S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</si>
  <si>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r>
      <t>I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</si>
  <si>
    <r>
      <t>σ</t>
    </r>
    <r>
      <rPr>
        <vertAlign val="subscript"/>
        <sz val="11"/>
        <color theme="1"/>
        <rFont val="Times New Roman"/>
        <family val="1"/>
      </rPr>
      <t>cr,s</t>
    </r>
    <r>
      <rPr>
        <sz val="11"/>
        <color theme="1"/>
        <rFont val="Times New Roman"/>
        <family val="1"/>
      </rPr>
      <t>(N/mm²)</t>
    </r>
  </si>
  <si>
    <r>
      <t>t</t>
    </r>
    <r>
      <rPr>
        <vertAlign val="subscript"/>
        <sz val="11"/>
        <color theme="1"/>
        <rFont val="Times New Roman"/>
        <family val="1"/>
      </rPr>
      <t>eff</t>
    </r>
  </si>
  <si>
    <t>lz</t>
  </si>
  <si>
    <t>ly</t>
  </si>
  <si>
    <r>
      <t>l</t>
    </r>
    <r>
      <rPr>
        <vertAlign val="subscript"/>
        <sz val="11"/>
        <color theme="1"/>
        <rFont val="Times New Roman"/>
        <family val="1"/>
      </rPr>
      <t>i</t>
    </r>
  </si>
  <si>
    <t>w</t>
  </si>
  <si>
    <r>
      <t>t</t>
    </r>
    <r>
      <rPr>
        <vertAlign val="subscript"/>
        <sz val="11"/>
        <color theme="1"/>
        <rFont val="Times New Roman"/>
        <family val="1"/>
      </rPr>
      <t>réd</t>
    </r>
  </si>
  <si>
    <t>sw</t>
  </si>
  <si>
    <t>SCHEMA</t>
  </si>
  <si>
    <t>fθ1</t>
  </si>
  <si>
    <t>lcθ1</t>
  </si>
  <si>
    <t>Ccθ1</t>
  </si>
  <si>
    <t>fθ3</t>
  </si>
  <si>
    <t>lcθ3</t>
  </si>
  <si>
    <t>Ccθ3</t>
  </si>
  <si>
    <t>ε</t>
  </si>
  <si>
    <r>
      <t>λ</t>
    </r>
    <r>
      <rPr>
        <vertAlign val="subscript"/>
        <sz val="11"/>
        <color theme="1"/>
        <rFont val="Times New Roman"/>
        <family val="1"/>
      </rPr>
      <t>pred</t>
    </r>
  </si>
  <si>
    <r>
      <t>σ</t>
    </r>
    <r>
      <rPr>
        <vertAlign val="subscript"/>
        <sz val="11"/>
        <color rgb="FFFF0000"/>
        <rFont val="Times New Roman"/>
        <family val="1"/>
      </rPr>
      <t>com</t>
    </r>
  </si>
  <si>
    <r>
      <rPr>
        <sz val="11"/>
        <rFont val="Calibri"/>
        <family val="2"/>
      </rPr>
      <t>γ</t>
    </r>
    <r>
      <rPr>
        <vertAlign val="subscript"/>
        <sz val="11"/>
        <rFont val="Times New Roman"/>
        <family val="1"/>
      </rPr>
      <t>M0</t>
    </r>
  </si>
  <si>
    <r>
      <rPr>
        <sz val="11"/>
        <color theme="1"/>
        <rFont val="Times New Roman"/>
        <family val="1"/>
      </rPr>
      <t>ψ</t>
    </r>
    <r>
      <rPr>
        <sz val="11"/>
        <color theme="1"/>
        <rFont val="Calibri"/>
        <family val="2"/>
      </rPr>
      <t>=</t>
    </r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/σ</t>
    </r>
    <r>
      <rPr>
        <vertAlign val="subscript"/>
        <sz val="11"/>
        <color theme="1"/>
        <rFont val="Times New Roman"/>
        <family val="1"/>
      </rPr>
      <t>1</t>
    </r>
  </si>
  <si>
    <t>1/2 (1eff)</t>
  </si>
  <si>
    <t>1/2 (7eff)</t>
  </si>
  <si>
    <t>ec</t>
  </si>
  <si>
    <t>&gt;</t>
  </si>
  <si>
    <t>1/2 onde</t>
  </si>
  <si>
    <t>entre axe(mm)</t>
  </si>
  <si>
    <t>onde</t>
  </si>
  <si>
    <t>mm3/mm</t>
  </si>
  <si>
    <t>Nmm/mm</t>
  </si>
  <si>
    <t>kNm/m</t>
  </si>
  <si>
    <r>
      <t>θ</t>
    </r>
    <r>
      <rPr>
        <vertAlign val="subscript"/>
        <sz val="11"/>
        <color theme="1"/>
        <rFont val="Times New Roman"/>
        <family val="1"/>
      </rPr>
      <t>1d</t>
    </r>
  </si>
  <si>
    <r>
      <t>s</t>
    </r>
    <r>
      <rPr>
        <vertAlign val="subscript"/>
        <sz val="11"/>
        <color theme="1"/>
        <rFont val="Times New Roman"/>
        <family val="1"/>
      </rPr>
      <t>d</t>
    </r>
  </si>
  <si>
    <r>
      <t>s</t>
    </r>
    <r>
      <rPr>
        <vertAlign val="subscript"/>
        <sz val="11"/>
        <color theme="1"/>
        <rFont val="Times New Roman"/>
        <family val="1"/>
      </rPr>
      <t>p</t>
    </r>
  </si>
  <si>
    <r>
      <rPr>
        <sz val="11"/>
        <rFont val="Times New Roman"/>
        <family val="1"/>
      </rPr>
      <t>I</t>
    </r>
    <r>
      <rPr>
        <vertAlign val="subscript"/>
        <sz val="11"/>
        <rFont val="Times New Roman"/>
        <family val="1"/>
      </rPr>
      <t>s</t>
    </r>
  </si>
  <si>
    <r>
      <t>k</t>
    </r>
    <r>
      <rPr>
        <vertAlign val="subscript"/>
        <sz val="11"/>
        <color theme="1"/>
        <rFont val="Times New Roman"/>
        <family val="1"/>
      </rPr>
      <t>τ</t>
    </r>
  </si>
  <si>
    <t>Is</t>
  </si>
  <si>
    <r>
      <t>λ</t>
    </r>
    <r>
      <rPr>
        <vertAlign val="subscript"/>
        <sz val="11"/>
        <color theme="1"/>
        <rFont val="Times New Roman"/>
        <family val="1"/>
      </rPr>
      <t>w</t>
    </r>
  </si>
  <si>
    <r>
      <t>0.346*s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/t*(f</t>
    </r>
    <r>
      <rPr>
        <vertAlign val="subscript"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/E)</t>
    </r>
    <r>
      <rPr>
        <vertAlign val="superscript"/>
        <sz val="11"/>
        <color theme="1"/>
        <rFont val="Calibri"/>
        <family val="2"/>
        <scheme val="minor"/>
      </rPr>
      <t>1/2</t>
    </r>
  </si>
  <si>
    <t>λw&gt;1.4=&gt;</t>
  </si>
  <si>
    <r>
      <rPr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Calibri"/>
        <family val="2"/>
      </rPr>
      <t>M0</t>
    </r>
  </si>
  <si>
    <r>
      <t>f</t>
    </r>
    <r>
      <rPr>
        <vertAlign val="subscript"/>
        <sz val="11"/>
        <color theme="1"/>
        <rFont val="Calibri"/>
        <family val="2"/>
        <scheme val="minor"/>
      </rPr>
      <t>bv</t>
    </r>
  </si>
  <si>
    <r>
      <t>V</t>
    </r>
    <r>
      <rPr>
        <vertAlign val="subscript"/>
        <sz val="11"/>
        <color theme="1"/>
        <rFont val="Calibri"/>
        <family val="2"/>
        <scheme val="minor"/>
      </rPr>
      <t>b,Rd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</si>
  <si>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b,Rd </t>
    </r>
    <r>
      <rPr>
        <sz val="11"/>
        <color theme="1"/>
        <rFont val="Calibri"/>
        <family val="2"/>
        <scheme val="minor"/>
      </rPr>
      <t>(kN)</t>
    </r>
  </si>
  <si>
    <t>R/2</t>
  </si>
  <si>
    <t>hw</t>
  </si>
  <si>
    <t>f</t>
  </si>
  <si>
    <t>r/t&lt;10</t>
  </si>
  <si>
    <t>Appui d'extrémité</t>
  </si>
  <si>
    <t>Appui inermédiaire</t>
  </si>
  <si>
    <r>
      <t>r</t>
    </r>
    <r>
      <rPr>
        <vertAlign val="subscript"/>
        <sz val="11"/>
        <color theme="1"/>
        <rFont val="Times New Roman"/>
        <family val="1"/>
      </rPr>
      <t>i</t>
    </r>
  </si>
  <si>
    <r>
      <t>200*sin</t>
    </r>
    <r>
      <rPr>
        <sz val="11"/>
        <color theme="1"/>
        <rFont val="Calibri"/>
        <family val="2"/>
      </rPr>
      <t>Ф</t>
    </r>
  </si>
  <si>
    <r>
      <t>l</t>
    </r>
    <r>
      <rPr>
        <vertAlign val="subscript"/>
        <sz val="11"/>
        <color theme="1"/>
        <rFont val="Times New Roman"/>
        <family val="1"/>
      </rPr>
      <t>a</t>
    </r>
  </si>
  <si>
    <r>
      <rPr>
        <sz val="11"/>
        <color theme="1"/>
        <rFont val="Calibri"/>
        <family val="2"/>
      </rPr>
      <t>γ</t>
    </r>
    <r>
      <rPr>
        <vertAlign val="subscript"/>
        <sz val="11"/>
        <color theme="1"/>
        <rFont val="Times New Roman"/>
        <family val="1"/>
      </rPr>
      <t>M1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</si>
  <si>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</t>
    </r>
  </si>
  <si>
    <t>/ame</t>
  </si>
  <si>
    <r>
      <t>L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*t*h²/12+A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</si>
  <si>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*t*h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/12+A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*z0²</t>
    </r>
  </si>
  <si>
    <t>partie plane</t>
  </si>
  <si>
    <t>θ1</t>
  </si>
  <si>
    <t>θ3</t>
  </si>
  <si>
    <r>
      <t>b</t>
    </r>
    <r>
      <rPr>
        <vertAlign val="subscript"/>
        <sz val="11"/>
        <color theme="1"/>
        <rFont val="Times New Roman"/>
        <family val="1"/>
      </rPr>
      <t>p,1(ext)</t>
    </r>
  </si>
  <si>
    <r>
      <t>b</t>
    </r>
    <r>
      <rPr>
        <vertAlign val="subscript"/>
        <sz val="11"/>
        <color theme="1"/>
        <rFont val="Times New Roman"/>
        <family val="1"/>
      </rPr>
      <t>p,2(int)</t>
    </r>
  </si>
  <si>
    <r>
      <t>k</t>
    </r>
    <r>
      <rPr>
        <vertAlign val="subscript"/>
        <sz val="11"/>
        <color theme="1"/>
        <rFont val="Times New Roman"/>
        <family val="1"/>
      </rPr>
      <t>w0</t>
    </r>
  </si>
  <si>
    <t>λ&lt;0,65</t>
  </si>
  <si>
    <t>λ&gt;1,38</t>
  </si>
  <si>
    <t>Pour parasteel ame complétement efficace</t>
  </si>
  <si>
    <t>θ2</t>
  </si>
  <si>
    <t>lcθ2</t>
  </si>
  <si>
    <t>Ccθ2</t>
  </si>
  <si>
    <t>Pour PCB60 ame complétement efficace</t>
  </si>
  <si>
    <r>
      <t>e</t>
    </r>
    <r>
      <rPr>
        <vertAlign val="subscript"/>
        <sz val="11"/>
        <color theme="0" tint="-4.9989318521683403E-2"/>
        <rFont val="Times New Roman"/>
      </rPr>
      <t>max</t>
    </r>
  </si>
  <si>
    <r>
      <t>e</t>
    </r>
    <r>
      <rPr>
        <vertAlign val="subscript"/>
        <sz val="11"/>
        <color theme="0" tint="-4.9989318521683403E-2"/>
        <rFont val="Times New Roman"/>
      </rPr>
      <t>min</t>
    </r>
  </si>
  <si>
    <r>
      <rPr>
        <sz val="11"/>
        <color theme="0" tint="-4.9989318521683403E-2"/>
        <rFont val="Calibri"/>
        <family val="2"/>
      </rPr>
      <t>κ</t>
    </r>
    <r>
      <rPr>
        <vertAlign val="subscript"/>
        <sz val="11"/>
        <color theme="0" tint="-4.9989318521683403E-2"/>
        <rFont val="Times New Roman"/>
      </rPr>
      <t>a,s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</si>
  <si>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 (kN/m)</t>
    </r>
  </si>
  <si>
    <t>hw/t &lt;</t>
  </si>
  <si>
    <t>c &lt;</t>
  </si>
  <si>
    <r>
      <t>1,5 h</t>
    </r>
    <r>
      <rPr>
        <vertAlign val="subscript"/>
        <sz val="11"/>
        <color theme="1"/>
        <rFont val="Times New Roman"/>
        <family val="1"/>
      </rPr>
      <t>W</t>
    </r>
  </si>
  <si>
    <t>mm^3</t>
  </si>
  <si>
    <r>
      <t>R</t>
    </r>
    <r>
      <rPr>
        <vertAlign val="subscript"/>
        <sz val="11"/>
        <color theme="0"/>
        <rFont val="Times New Roman"/>
      </rPr>
      <t xml:space="preserve">w,Rd </t>
    </r>
    <r>
      <rPr>
        <sz val="11"/>
        <color theme="0"/>
        <rFont val="Times New Roman"/>
        <family val="1"/>
      </rPr>
      <t>(N)</t>
    </r>
  </si>
  <si>
    <r>
      <t>R</t>
    </r>
    <r>
      <rPr>
        <vertAlign val="subscript"/>
        <sz val="11"/>
        <color theme="1"/>
        <rFont val="Times New Roman"/>
        <family val="1"/>
      </rPr>
      <t>w,Rd(</t>
    </r>
    <r>
      <rPr>
        <sz val="11"/>
        <color theme="1"/>
        <rFont val="Times New Roman"/>
        <family val="1"/>
      </rPr>
      <t>âme non raidie)</t>
    </r>
  </si>
  <si>
    <r>
      <t>s</t>
    </r>
    <r>
      <rPr>
        <vertAlign val="subscript"/>
        <sz val="11"/>
        <color theme="1"/>
        <rFont val="Times New Roman"/>
        <family val="1"/>
      </rPr>
      <t>eff,n</t>
    </r>
  </si>
  <si>
    <r>
      <t>s</t>
    </r>
    <r>
      <rPr>
        <vertAlign val="subscript"/>
        <sz val="11"/>
        <color theme="1"/>
        <rFont val="Times New Roman"/>
        <family val="1"/>
      </rPr>
      <t>eff,1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</si>
  <si>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fyb/γM0/σcom</t>
  </si>
  <si>
    <t>ro</t>
  </si>
  <si>
    <t>b/t=</t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</si>
  <si>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=</t>
    </r>
  </si>
  <si>
    <t>h/t=</t>
  </si>
  <si>
    <t>500sin(θ2)=</t>
  </si>
  <si>
    <t>r &lt;</t>
  </si>
  <si>
    <r>
      <t xml:space="preserve">0,04 </t>
    </r>
    <r>
      <rPr>
        <i/>
        <sz val="12"/>
        <color theme="1"/>
        <rFont val="Times New Roman"/>
      </rPr>
      <t>t</t>
    </r>
    <r>
      <rPr>
        <sz val="12"/>
        <color theme="1"/>
        <rFont val="Times New Roman"/>
      </rPr>
      <t xml:space="preserve"> </t>
    </r>
    <r>
      <rPr>
        <i/>
        <sz val="12"/>
        <color theme="1"/>
        <rFont val="Times New Roman"/>
      </rPr>
      <t>E</t>
    </r>
    <r>
      <rPr>
        <sz val="12"/>
        <color theme="1"/>
        <rFont val="Times New Roman"/>
      </rPr>
      <t xml:space="preserve"> / </t>
    </r>
    <r>
      <rPr>
        <i/>
        <sz val="12"/>
        <color theme="1"/>
        <rFont val="Times New Roman"/>
      </rPr>
      <t>f</t>
    </r>
    <r>
      <rPr>
        <vertAlign val="subscript"/>
        <sz val="12"/>
        <color theme="1"/>
        <rFont val="Times New Roman"/>
      </rPr>
      <t xml:space="preserve">y </t>
    </r>
  </si>
  <si>
    <r>
      <rPr>
        <sz val="12"/>
        <color theme="1"/>
        <rFont val="Symbol"/>
        <family val="1"/>
        <charset val="2"/>
      </rPr>
      <t>r</t>
    </r>
    <r>
      <rPr>
        <sz val="12"/>
        <color theme="1"/>
        <rFont val="Times New Roman"/>
      </rPr>
      <t xml:space="preserve"> </t>
    </r>
  </si>
  <si>
    <t xml:space="preserve">1) Determination of embossment ratio ρ </t>
  </si>
  <si>
    <t>2) DATA</t>
  </si>
  <si>
    <t>3) Checking of geometrical proportions</t>
  </si>
  <si>
    <t>5) RESULTS</t>
  </si>
  <si>
    <r>
      <t>M</t>
    </r>
    <r>
      <rPr>
        <b/>
        <vertAlign val="subscript"/>
        <sz val="14"/>
        <color theme="1"/>
        <rFont val="Calibri"/>
        <scheme val="minor"/>
      </rPr>
      <t>span</t>
    </r>
    <r>
      <rPr>
        <b/>
        <sz val="14"/>
        <color theme="1"/>
        <rFont val="Calibri"/>
        <scheme val="minor"/>
      </rPr>
      <t>=</t>
    </r>
  </si>
  <si>
    <r>
      <t>R</t>
    </r>
    <r>
      <rPr>
        <b/>
        <vertAlign val="subscript"/>
        <sz val="14"/>
        <color theme="1"/>
        <rFont val="Calibri"/>
        <scheme val="minor"/>
      </rPr>
      <t>endsupport</t>
    </r>
    <r>
      <rPr>
        <b/>
        <sz val="14"/>
        <color theme="1"/>
        <rFont val="Calibri"/>
        <scheme val="minor"/>
      </rPr>
      <t>=</t>
    </r>
  </si>
  <si>
    <t>kN/m</t>
  </si>
  <si>
    <t>R1</t>
  </si>
  <si>
    <r>
      <t>R2</t>
    </r>
    <r>
      <rPr>
        <vertAlign val="subscript"/>
        <sz val="11"/>
        <color theme="1"/>
        <rFont val="Times New Roman"/>
        <family val="1"/>
      </rPr>
      <t>sup</t>
    </r>
  </si>
  <si>
    <r>
      <t>R2</t>
    </r>
    <r>
      <rPr>
        <vertAlign val="subscript"/>
        <sz val="11"/>
        <color theme="1"/>
        <rFont val="Times New Roman"/>
        <family val="1"/>
      </rPr>
      <t>inf</t>
    </r>
  </si>
  <si>
    <t>R3</t>
  </si>
  <si>
    <r>
      <t>g</t>
    </r>
    <r>
      <rPr>
        <sz val="11"/>
        <color theme="1"/>
        <rFont val="Calibri"/>
        <family val="2"/>
      </rPr>
      <t>θ2inf</t>
    </r>
  </si>
  <si>
    <t>fθ2inf</t>
  </si>
  <si>
    <t>lcθ2inf</t>
  </si>
  <si>
    <t>Ccθ2inf</t>
  </si>
  <si>
    <t>fθ2sup</t>
  </si>
  <si>
    <t>2θ1</t>
  </si>
  <si>
    <t>f2θ1</t>
  </si>
  <si>
    <t>lc2θ1</t>
  </si>
  <si>
    <t>Cc2θ1</t>
  </si>
  <si>
    <t>ratio ρ</t>
  </si>
  <si>
    <t>if t = 0,75 mm</t>
  </si>
  <si>
    <t>if t =1 mm</t>
  </si>
  <si>
    <r>
      <t>H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&lt; 4 mm</t>
    </r>
  </si>
  <si>
    <t>FILL RED CELLS</t>
  </si>
  <si>
    <t>R1 (mm)</t>
  </si>
  <si>
    <r>
      <t>R2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</si>
  <si>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</si>
  <si>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t (mm)</t>
  </si>
  <si>
    <t>Pitch (mm)</t>
  </si>
  <si>
    <t xml:space="preserve">hw (mm) </t>
  </si>
  <si>
    <r>
      <t>hS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</si>
  <si>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hI</t>
    </r>
    <r>
      <rPr>
        <vertAlign val="subscript"/>
        <sz val="11"/>
        <color theme="1"/>
        <rFont val="Times New Roman"/>
        <family val="1"/>
      </rPr>
      <t>embossment</t>
    </r>
    <r>
      <rPr>
        <sz val="11"/>
        <color theme="1"/>
        <rFont val="Times New Roman"/>
        <family val="1"/>
      </rPr>
      <t xml:space="preserve"> (mm)</t>
    </r>
  </si>
  <si>
    <r>
      <t>zS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</si>
  <si>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zI</t>
    </r>
    <r>
      <rPr>
        <vertAlign val="subscript"/>
        <sz val="11"/>
        <color theme="1"/>
        <rFont val="Times New Roman"/>
        <family val="1"/>
      </rPr>
      <t>embossment</t>
    </r>
    <r>
      <rPr>
        <sz val="11"/>
        <color theme="1"/>
        <rFont val="Times New Roman"/>
        <family val="1"/>
      </rPr>
      <t xml:space="preserve"> (mm)</t>
    </r>
  </si>
  <si>
    <r>
      <t>Choose t</t>
    </r>
    <r>
      <rPr>
        <b/>
        <vertAlign val="subscript"/>
        <sz val="12"/>
        <color rgb="FFFF0000"/>
        <rFont val="Calibri"/>
        <scheme val="minor"/>
      </rPr>
      <t>nom</t>
    </r>
    <r>
      <rPr>
        <b/>
        <sz val="12"/>
        <color rgb="FFFF0000"/>
        <rFont val="Calibri"/>
        <scheme val="minor"/>
      </rPr>
      <t xml:space="preserve"> = 0.75 mm or t</t>
    </r>
    <r>
      <rPr>
        <b/>
        <vertAlign val="subscript"/>
        <sz val="12"/>
        <color rgb="FFFF0000"/>
        <rFont val="Calibri"/>
        <scheme val="minor"/>
      </rPr>
      <t>nom</t>
    </r>
    <r>
      <rPr>
        <b/>
        <sz val="12"/>
        <color rgb="FFFF0000"/>
        <rFont val="Calibri"/>
        <scheme val="minor"/>
      </rPr>
      <t xml:space="preserve"> = 1mm</t>
    </r>
  </si>
  <si>
    <r>
      <t>t</t>
    </r>
    <r>
      <rPr>
        <vertAlign val="subscript"/>
        <sz val="11"/>
        <color theme="1"/>
        <rFont val="Times New Roman"/>
        <family val="1"/>
      </rPr>
      <t>nom</t>
    </r>
    <r>
      <rPr>
        <sz val="11"/>
        <color theme="1"/>
        <rFont val="Times New Roman"/>
        <family val="1"/>
      </rPr>
      <t xml:space="preserve"> (mm)</t>
    </r>
  </si>
  <si>
    <t>tnom</t>
  </si>
  <si>
    <r>
      <t>Height of the embossment h</t>
    </r>
    <r>
      <rPr>
        <b/>
        <vertAlign val="subscript"/>
        <sz val="12"/>
        <color rgb="FFFF0000"/>
        <rFont val="Calibri"/>
        <scheme val="minor"/>
      </rPr>
      <t>e</t>
    </r>
    <r>
      <rPr>
        <b/>
        <sz val="12"/>
        <color rgb="FFFF0000"/>
        <rFont val="Calibri"/>
        <scheme val="minor"/>
      </rPr>
      <t xml:space="preserve"> &lt; 4 mm</t>
    </r>
  </si>
  <si>
    <r>
      <t>g</t>
    </r>
    <r>
      <rPr>
        <sz val="11"/>
        <rFont val="Calibri"/>
        <family val="2"/>
      </rPr>
      <t>θ2sup</t>
    </r>
  </si>
  <si>
    <r>
      <t>g</t>
    </r>
    <r>
      <rPr>
        <sz val="11"/>
        <rFont val="Calibri"/>
        <family val="2"/>
      </rPr>
      <t>θ1</t>
    </r>
  </si>
  <si>
    <r>
      <t>g2</t>
    </r>
    <r>
      <rPr>
        <sz val="11"/>
        <rFont val="Calibri"/>
        <family val="2"/>
      </rPr>
      <t>θ1</t>
    </r>
  </si>
  <si>
    <t>3rd step</t>
  </si>
  <si>
    <t>Upper flange</t>
  </si>
  <si>
    <r>
      <t>s</t>
    </r>
    <r>
      <rPr>
        <vertAlign val="subscript"/>
        <sz val="12"/>
        <color theme="1"/>
        <rFont val="Calibri"/>
        <family val="2"/>
        <scheme val="minor"/>
      </rPr>
      <t xml:space="preserve"> com</t>
    </r>
    <r>
      <rPr>
        <sz val="12"/>
        <color theme="1"/>
        <rFont val="Calibri"/>
        <family val="2"/>
        <charset val="204"/>
        <scheme val="minor"/>
      </rPr>
      <t xml:space="preserve"> </t>
    </r>
  </si>
  <si>
    <t xml:space="preserve">ρ pour b 2,eff </t>
  </si>
  <si>
    <r>
      <t xml:space="preserve">0,5 b </t>
    </r>
    <r>
      <rPr>
        <vertAlign val="subscript"/>
        <sz val="10"/>
        <color rgb="FF000000"/>
        <rFont val="Verdana"/>
        <family val="2"/>
      </rPr>
      <t xml:space="preserve">2,eff </t>
    </r>
  </si>
  <si>
    <t xml:space="preserve">ρ pour b 1,eff </t>
  </si>
  <si>
    <r>
      <t xml:space="preserve">0,5 b </t>
    </r>
    <r>
      <rPr>
        <vertAlign val="subscript"/>
        <sz val="10"/>
        <color rgb="FF000000"/>
        <rFont val="Verdana"/>
        <family val="2"/>
      </rPr>
      <t xml:space="preserve">1,eff </t>
    </r>
  </si>
  <si>
    <t>Upper flange stiffener</t>
  </si>
  <si>
    <r>
      <t>s</t>
    </r>
    <r>
      <rPr>
        <vertAlign val="subscript"/>
        <sz val="11"/>
        <color theme="1"/>
        <rFont val="Calibri"/>
        <family val="2"/>
        <scheme val="minor"/>
      </rPr>
      <t>cr,s</t>
    </r>
    <r>
      <rPr>
        <sz val="11"/>
        <color theme="1"/>
        <rFont val="Calibri"/>
        <family val="2"/>
        <scheme val="minor"/>
      </rPr>
      <t xml:space="preserve">  </t>
    </r>
  </si>
  <si>
    <r>
      <t>c</t>
    </r>
    <r>
      <rPr>
        <i/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 xml:space="preserve">d </t>
    </r>
  </si>
  <si>
    <t>Web</t>
  </si>
  <si>
    <r>
      <t>e</t>
    </r>
    <r>
      <rPr>
        <vertAlign val="subscript"/>
        <sz val="10"/>
        <color rgb="FF444444"/>
        <rFont val="Verdana"/>
        <family val="2"/>
      </rPr>
      <t>c</t>
    </r>
  </si>
  <si>
    <r>
      <t>s</t>
    </r>
    <r>
      <rPr>
        <vertAlign val="subscript"/>
        <sz val="10"/>
        <color rgb="FF444444"/>
        <rFont val="Verdana"/>
        <family val="2"/>
      </rPr>
      <t>n</t>
    </r>
  </si>
  <si>
    <r>
      <t>s</t>
    </r>
    <r>
      <rPr>
        <vertAlign val="subscript"/>
        <sz val="10"/>
        <color theme="1"/>
        <rFont val="Verdana"/>
        <family val="2"/>
      </rPr>
      <t>eff,0</t>
    </r>
    <r>
      <rPr>
        <sz val="10"/>
        <color theme="1"/>
        <rFont val="Verdana"/>
        <family val="2"/>
      </rPr>
      <t xml:space="preserve"> </t>
    </r>
  </si>
  <si>
    <r>
      <t>s</t>
    </r>
    <r>
      <rPr>
        <vertAlign val="subscript"/>
        <sz val="10"/>
        <color theme="1"/>
        <rFont val="Verdana"/>
        <family val="2"/>
      </rPr>
      <t xml:space="preserve">eff,1 </t>
    </r>
  </si>
  <si>
    <r>
      <t>s</t>
    </r>
    <r>
      <rPr>
        <vertAlign val="subscript"/>
        <sz val="10"/>
        <color theme="1"/>
        <rFont val="Verdana"/>
        <family val="2"/>
      </rPr>
      <t>eff,n</t>
    </r>
  </si>
  <si>
    <r>
      <t>s</t>
    </r>
    <r>
      <rPr>
        <vertAlign val="subscript"/>
        <sz val="10"/>
        <color theme="1"/>
        <rFont val="Verdana"/>
        <family val="2"/>
      </rPr>
      <t xml:space="preserve">eff,1 + Seff,n </t>
    </r>
  </si>
  <si>
    <t>entire web is effective</t>
  </si>
  <si>
    <t>Total effective Area</t>
  </si>
  <si>
    <r>
      <t xml:space="preserve">A </t>
    </r>
    <r>
      <rPr>
        <vertAlign val="subscript"/>
        <sz val="10"/>
        <color rgb="FF444444"/>
        <rFont val="Verdana"/>
        <family val="2"/>
      </rPr>
      <t>eff</t>
    </r>
    <r>
      <rPr>
        <sz val="10"/>
        <color rgb="FF444444"/>
        <rFont val="Verdana"/>
        <family val="2"/>
      </rPr>
      <t xml:space="preserve"> </t>
    </r>
  </si>
  <si>
    <t>Position of neutral axis</t>
  </si>
  <si>
    <r>
      <t>z</t>
    </r>
    <r>
      <rPr>
        <vertAlign val="subscript"/>
        <sz val="10"/>
        <color rgb="FF000000"/>
        <rFont val="Verdana"/>
        <family val="2"/>
      </rPr>
      <t>c</t>
    </r>
  </si>
  <si>
    <t>0,4sn</t>
  </si>
  <si>
    <t>0,6sn</t>
  </si>
  <si>
    <r>
      <t>b</t>
    </r>
    <r>
      <rPr>
        <vertAlign val="subscript"/>
        <sz val="11"/>
        <rFont val="Times New Roman"/>
        <family val="1"/>
      </rPr>
      <t xml:space="preserve">pi </t>
    </r>
    <r>
      <rPr>
        <sz val="11"/>
        <rFont val="Times New Roman"/>
        <family val="1"/>
      </rPr>
      <t>(mm)</t>
    </r>
  </si>
  <si>
    <t>Corner 1</t>
  </si>
  <si>
    <r>
      <t>Corner 2</t>
    </r>
    <r>
      <rPr>
        <vertAlign val="subscript"/>
        <sz val="11"/>
        <color theme="1"/>
        <rFont val="Times New Roman"/>
        <family val="1"/>
      </rPr>
      <t>sup</t>
    </r>
  </si>
  <si>
    <r>
      <t>Corner 2</t>
    </r>
    <r>
      <rPr>
        <vertAlign val="subscript"/>
        <sz val="11"/>
        <color theme="1"/>
        <rFont val="Times New Roman"/>
        <family val="1"/>
      </rPr>
      <t>inf</t>
    </r>
  </si>
  <si>
    <t>TOTAL</t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</si>
  <si>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</si>
  <si>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r>
      <t>t</t>
    </r>
    <r>
      <rPr>
        <vertAlign val="subscript"/>
        <sz val="10"/>
        <color theme="1"/>
        <rFont val="Verdana"/>
        <family val="2"/>
      </rPr>
      <t>red</t>
    </r>
  </si>
  <si>
    <t>seff,1 + seff,n</t>
  </si>
  <si>
    <t>Embossment S</t>
  </si>
  <si>
    <t>Embossment I</t>
  </si>
  <si>
    <t>2nd step</t>
  </si>
  <si>
    <r>
      <t>θ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(rad)</t>
    </r>
  </si>
  <si>
    <r>
      <t>θ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(rad)</t>
    </r>
  </si>
  <si>
    <r>
      <t>d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(mm)</t>
    </r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</si>
  <si>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(mm)</t>
    </r>
  </si>
  <si>
    <t>b=</t>
  </si>
  <si>
    <r>
      <t>lr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(mm)</t>
    </r>
  </si>
  <si>
    <r>
      <t>g</t>
    </r>
    <r>
      <rPr>
        <strike/>
        <sz val="11"/>
        <rFont val="Calibri"/>
        <family val="2"/>
      </rPr>
      <t>θ3</t>
    </r>
  </si>
  <si>
    <r>
      <t>plane part of 0.5 b</t>
    </r>
    <r>
      <rPr>
        <vertAlign val="subscript"/>
        <sz val="11"/>
        <color theme="1"/>
        <rFont val="Times New Roman"/>
        <family val="1"/>
      </rPr>
      <t>2eff</t>
    </r>
  </si>
  <si>
    <r>
      <t>plane part of 0.5 b1</t>
    </r>
    <r>
      <rPr>
        <vertAlign val="subscript"/>
        <sz val="11"/>
        <color theme="1"/>
        <rFont val="Times New Roman"/>
        <family val="1"/>
      </rPr>
      <t>eff</t>
    </r>
  </si>
  <si>
    <r>
      <t>plane part of min(15t;0.5b</t>
    </r>
    <r>
      <rPr>
        <vertAlign val="subscript"/>
        <sz val="11"/>
        <color theme="1"/>
        <rFont val="Times New Roman"/>
        <family val="1"/>
      </rPr>
      <t>2eff</t>
    </r>
    <r>
      <rPr>
        <sz val="11"/>
        <color theme="1"/>
        <rFont val="Times New Roman"/>
        <family val="1"/>
      </rPr>
      <t>)</t>
    </r>
  </si>
  <si>
    <t>plane part of 15t</t>
  </si>
  <si>
    <t xml:space="preserve">The length of the elements are measured from the midpoints of the adjacent corner elements </t>
  </si>
  <si>
    <r>
      <t>θ</t>
    </r>
    <r>
      <rPr>
        <strike/>
        <vertAlign val="subscript"/>
        <sz val="11"/>
        <color theme="0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</si>
</sst>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vertAlign val="subscript"/>
      <sz val="11"/>
      <color rgb="FFFF000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strike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Symbol"/>
      <family val="1"/>
      <charset val="2"/>
    </font>
    <font>
      <u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trike/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4.9989318521683403E-2"/>
      <name val="Times New Roman"/>
    </font>
    <font>
      <vertAlign val="subscript"/>
      <sz val="11"/>
      <color theme="0" tint="-4.9989318521683403E-2"/>
      <name val="Times New Roman"/>
    </font>
    <font>
      <sz val="11"/>
      <color theme="0" tint="-4.9989318521683403E-2"/>
      <name val="Calibri"/>
      <family val="2"/>
    </font>
    <font>
      <vertAlign val="subscript"/>
      <sz val="11"/>
      <color theme="0"/>
      <name val="Times New Roman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theme="1"/>
      <name val="Times New Roman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2"/>
      <color theme="1"/>
      <name val="Symbol"/>
      <family val="1"/>
      <charset val="2"/>
    </font>
    <font>
      <sz val="11"/>
      <color rgb="FF000000"/>
      <name val="Times New Roman"/>
      <family val="1"/>
    </font>
    <font>
      <b/>
      <sz val="14"/>
      <color theme="1"/>
      <name val="Calibri"/>
      <scheme val="minor"/>
    </font>
    <font>
      <b/>
      <vertAlign val="subscript"/>
      <sz val="14"/>
      <color theme="1"/>
      <name val="Calibri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scheme val="minor"/>
    </font>
    <font>
      <b/>
      <sz val="16"/>
      <color rgb="FFFF0000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vertAlign val="subscript"/>
      <sz val="12"/>
      <color rgb="FFFF0000"/>
      <name val="Calibri"/>
      <scheme val="minor"/>
    </font>
    <font>
      <i/>
      <sz val="12"/>
      <color theme="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vertAlign val="subscript"/>
      <sz val="10"/>
      <color rgb="FF000000"/>
      <name val="Verdana"/>
      <family val="2"/>
    </font>
    <font>
      <i/>
      <sz val="11"/>
      <color theme="1"/>
      <name val="Symbol"/>
      <family val="1"/>
      <charset val="2"/>
    </font>
    <font>
      <sz val="10"/>
      <color rgb="FF444444"/>
      <name val="Verdana"/>
      <family val="2"/>
    </font>
    <font>
      <vertAlign val="subscript"/>
      <sz val="10"/>
      <color rgb="FF444444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TechnicLite"/>
      <charset val="2"/>
    </font>
    <font>
      <sz val="12"/>
      <name val="Times New Roman"/>
      <family val="1"/>
    </font>
    <font>
      <strike/>
      <sz val="11"/>
      <color theme="1"/>
      <name val="Calibri"/>
      <family val="2"/>
    </font>
    <font>
      <strike/>
      <sz val="11"/>
      <name val="Times New Roman"/>
      <family val="1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strike/>
      <sz val="11"/>
      <color theme="0"/>
      <name val="Times New Roman"/>
      <family val="1"/>
    </font>
    <font>
      <strike/>
      <vertAlign val="subscript"/>
      <sz val="11"/>
      <color theme="0"/>
      <name val="Times New Roman"/>
      <family val="1"/>
    </font>
    <font>
      <strike/>
      <sz val="12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5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2" fontId="4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2" fillId="0" borderId="1" xfId="0" applyFont="1" applyFill="1" applyBorder="1"/>
    <xf numFmtId="164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/>
    <xf numFmtId="0" fontId="2" fillId="0" borderId="3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2" fontId="4" fillId="0" borderId="0" xfId="0" applyNumberFormat="1" applyFont="1"/>
    <xf numFmtId="0" fontId="8" fillId="0" borderId="0" xfId="0" quotePrefix="1" applyFont="1"/>
    <xf numFmtId="0" fontId="4" fillId="0" borderId="0" xfId="0" applyFont="1"/>
    <xf numFmtId="2" fontId="0" fillId="0" borderId="5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2" fontId="9" fillId="0" borderId="0" xfId="0" applyNumberFormat="1" applyFont="1" applyBorder="1"/>
    <xf numFmtId="165" fontId="9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2" fontId="5" fillId="0" borderId="1" xfId="0" applyNumberFormat="1" applyFont="1" applyFill="1" applyBorder="1"/>
    <xf numFmtId="0" fontId="2" fillId="0" borderId="0" xfId="0" applyFont="1" applyFill="1"/>
    <xf numFmtId="0" fontId="10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0" fontId="15" fillId="0" borderId="1" xfId="0" applyFont="1" applyBorder="1"/>
    <xf numFmtId="2" fontId="8" fillId="0" borderId="0" xfId="0" quotePrefix="1" applyNumberFormat="1" applyFont="1"/>
    <xf numFmtId="0" fontId="10" fillId="0" borderId="0" xfId="0" applyFont="1" applyBorder="1"/>
    <xf numFmtId="0" fontId="5" fillId="0" borderId="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2" fontId="0" fillId="2" borderId="1" xfId="0" applyNumberFormat="1" applyFill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19" fillId="0" borderId="1" xfId="0" applyFont="1" applyBorder="1" applyAlignment="1">
      <alignment shrinkToFit="1"/>
    </xf>
    <xf numFmtId="2" fontId="2" fillId="0" borderId="1" xfId="0" applyNumberFormat="1" applyFont="1" applyBorder="1" applyAlignment="1">
      <alignment shrinkToFit="1"/>
    </xf>
    <xf numFmtId="2" fontId="4" fillId="0" borderId="1" xfId="0" applyNumberFormat="1" applyFont="1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Fill="1" applyBorder="1" applyAlignment="1">
      <alignment shrinkToFit="1"/>
    </xf>
    <xf numFmtId="2" fontId="2" fillId="0" borderId="0" xfId="0" applyNumberFormat="1" applyFont="1" applyAlignment="1">
      <alignment shrinkToFit="1"/>
    </xf>
    <xf numFmtId="0" fontId="20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164" fontId="2" fillId="0" borderId="1" xfId="0" applyNumberFormat="1" applyFont="1" applyBorder="1" applyAlignment="1">
      <alignment shrinkToFit="1"/>
    </xf>
    <xf numFmtId="0" fontId="2" fillId="2" borderId="1" xfId="0" applyFont="1" applyFill="1" applyBorder="1" applyAlignment="1">
      <alignment shrinkToFit="1"/>
    </xf>
    <xf numFmtId="2" fontId="2" fillId="3" borderId="1" xfId="0" applyNumberFormat="1" applyFont="1" applyFill="1" applyBorder="1"/>
    <xf numFmtId="0" fontId="2" fillId="3" borderId="0" xfId="0" applyFont="1" applyFill="1"/>
    <xf numFmtId="2" fontId="0" fillId="3" borderId="1" xfId="0" applyNumberFormat="1" applyFill="1" applyBorder="1"/>
    <xf numFmtId="2" fontId="9" fillId="0" borderId="1" xfId="0" applyNumberFormat="1" applyFont="1" applyBorder="1"/>
    <xf numFmtId="2" fontId="5" fillId="0" borderId="1" xfId="0" applyNumberFormat="1" applyFont="1" applyBorder="1"/>
    <xf numFmtId="2" fontId="0" fillId="4" borderId="1" xfId="0" applyNumberFormat="1" applyFill="1" applyBorder="1"/>
    <xf numFmtId="2" fontId="21" fillId="0" borderId="0" xfId="0" applyNumberFormat="1" applyFont="1"/>
    <xf numFmtId="2" fontId="2" fillId="5" borderId="1" xfId="0" applyNumberFormat="1" applyFont="1" applyFill="1" applyBorder="1"/>
    <xf numFmtId="2" fontId="2" fillId="4" borderId="1" xfId="0" applyNumberFormat="1" applyFont="1" applyFill="1" applyBorder="1"/>
    <xf numFmtId="0" fontId="2" fillId="5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2" fillId="6" borderId="0" xfId="0" applyFont="1" applyFill="1"/>
    <xf numFmtId="0" fontId="22" fillId="6" borderId="0" xfId="0" applyFont="1" applyFill="1"/>
    <xf numFmtId="0" fontId="15" fillId="6" borderId="0" xfId="0" applyFont="1" applyFill="1"/>
    <xf numFmtId="0" fontId="0" fillId="2" borderId="0" xfId="0" applyFill="1"/>
    <xf numFmtId="164" fontId="4" fillId="0" borderId="1" xfId="0" applyNumberFormat="1" applyFont="1" applyBorder="1"/>
    <xf numFmtId="0" fontId="4" fillId="0" borderId="1" xfId="0" applyFont="1" applyBorder="1"/>
    <xf numFmtId="164" fontId="9" fillId="0" borderId="1" xfId="0" applyNumberFormat="1" applyFont="1" applyBorder="1"/>
    <xf numFmtId="0" fontId="26" fillId="0" borderId="1" xfId="0" applyFont="1" applyFill="1" applyBorder="1" applyAlignment="1">
      <alignment shrinkToFit="1"/>
    </xf>
    <xf numFmtId="164" fontId="26" fillId="0" borderId="1" xfId="0" applyNumberFormat="1" applyFont="1" applyBorder="1" applyAlignment="1">
      <alignment shrinkToFit="1"/>
    </xf>
    <xf numFmtId="0" fontId="26" fillId="0" borderId="1" xfId="0" applyFont="1" applyBorder="1" applyAlignment="1">
      <alignment shrinkToFit="1"/>
    </xf>
    <xf numFmtId="2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0" fontId="2" fillId="4" borderId="1" xfId="0" applyFont="1" applyFill="1" applyBorder="1" applyAlignment="1">
      <alignment shrinkToFit="1"/>
    </xf>
    <xf numFmtId="0" fontId="23" fillId="0" borderId="0" xfId="0" applyFont="1" applyAlignment="1">
      <alignment shrinkToFit="1"/>
    </xf>
    <xf numFmtId="0" fontId="23" fillId="0" borderId="1" xfId="0" applyFont="1" applyBorder="1" applyAlignment="1">
      <alignment shrinkToFit="1"/>
    </xf>
    <xf numFmtId="2" fontId="23" fillId="0" borderId="1" xfId="0" applyNumberFormat="1" applyFont="1" applyBorder="1" applyAlignment="1">
      <alignment shrinkToFit="1"/>
    </xf>
    <xf numFmtId="164" fontId="26" fillId="0" borderId="1" xfId="0" applyNumberFormat="1" applyFont="1" applyFill="1" applyBorder="1" applyAlignment="1">
      <alignment shrinkToFit="1"/>
    </xf>
    <xf numFmtId="1" fontId="4" fillId="0" borderId="0" xfId="0" applyNumberFormat="1" applyFont="1"/>
    <xf numFmtId="1" fontId="2" fillId="0" borderId="0" xfId="0" applyNumberFormat="1" applyFont="1"/>
    <xf numFmtId="1" fontId="2" fillId="7" borderId="0" xfId="0" applyNumberFormat="1" applyFont="1" applyFill="1"/>
    <xf numFmtId="164" fontId="2" fillId="7" borderId="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/>
    <xf numFmtId="0" fontId="2" fillId="4" borderId="0" xfId="0" applyFont="1" applyFill="1"/>
    <xf numFmtId="2" fontId="5" fillId="7" borderId="0" xfId="0" applyNumberFormat="1" applyFont="1" applyFill="1"/>
    <xf numFmtId="10" fontId="2" fillId="0" borderId="0" xfId="0" applyNumberFormat="1" applyFont="1"/>
    <xf numFmtId="2" fontId="2" fillId="2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2" fillId="8" borderId="1" xfId="0" applyNumberFormat="1" applyFont="1" applyFill="1" applyBorder="1" applyAlignment="1">
      <alignment horizontal="right"/>
    </xf>
    <xf numFmtId="166" fontId="0" fillId="3" borderId="1" xfId="0" applyNumberFormat="1" applyFill="1" applyBorder="1"/>
    <xf numFmtId="166" fontId="9" fillId="0" borderId="1" xfId="0" applyNumberFormat="1" applyFont="1" applyBorder="1"/>
    <xf numFmtId="166" fontId="0" fillId="0" borderId="1" xfId="0" applyNumberFormat="1" applyBorder="1"/>
    <xf numFmtId="166" fontId="9" fillId="0" borderId="1" xfId="0" applyNumberFormat="1" applyFont="1" applyFill="1" applyBorder="1"/>
    <xf numFmtId="166" fontId="9" fillId="9" borderId="1" xfId="0" applyNumberFormat="1" applyFont="1" applyFill="1" applyBorder="1"/>
    <xf numFmtId="166" fontId="0" fillId="9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2" fillId="0" borderId="0" xfId="0" applyFont="1" applyFill="1" applyBorder="1"/>
    <xf numFmtId="165" fontId="32" fillId="0" borderId="0" xfId="0" applyNumberFormat="1" applyFont="1" applyBorder="1" applyAlignment="1">
      <alignment horizontal="right"/>
    </xf>
    <xf numFmtId="0" fontId="8" fillId="0" borderId="0" xfId="0" applyFont="1"/>
    <xf numFmtId="165" fontId="32" fillId="0" borderId="0" xfId="0" applyNumberFormat="1" applyFont="1" applyBorder="1" applyAlignment="1">
      <alignment horizontal="right" vertical="center"/>
    </xf>
    <xf numFmtId="165" fontId="32" fillId="0" borderId="0" xfId="0" applyNumberFormat="1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2" fontId="0" fillId="0" borderId="0" xfId="0" applyNumberFormat="1" applyBorder="1"/>
    <xf numFmtId="2" fontId="11" fillId="0" borderId="0" xfId="0" applyNumberFormat="1" applyFont="1" applyBorder="1"/>
    <xf numFmtId="0" fontId="32" fillId="0" borderId="0" xfId="0" applyFont="1" applyBorder="1"/>
    <xf numFmtId="2" fontId="15" fillId="0" borderId="0" xfId="0" applyNumberFormat="1" applyFont="1" applyBorder="1"/>
    <xf numFmtId="0" fontId="8" fillId="0" borderId="0" xfId="0" applyFont="1" applyBorder="1"/>
    <xf numFmtId="0" fontId="15" fillId="0" borderId="0" xfId="0" applyFont="1" applyFill="1" applyBorder="1"/>
    <xf numFmtId="2" fontId="15" fillId="0" borderId="0" xfId="0" applyNumberFormat="1" applyFont="1" applyFill="1" applyBorder="1"/>
    <xf numFmtId="0" fontId="0" fillId="10" borderId="1" xfId="0" applyFill="1" applyBorder="1" applyProtection="1">
      <protection locked="0"/>
    </xf>
    <xf numFmtId="2" fontId="2" fillId="10" borderId="1" xfId="0" applyNumberFormat="1" applyFont="1" applyFill="1" applyBorder="1" applyProtection="1">
      <protection locked="0"/>
    </xf>
    <xf numFmtId="2" fontId="34" fillId="10" borderId="1" xfId="0" applyNumberFormat="1" applyFont="1" applyFill="1" applyBorder="1" applyProtection="1">
      <protection locked="0"/>
    </xf>
    <xf numFmtId="2" fontId="38" fillId="10" borderId="1" xfId="0" applyNumberFormat="1" applyFont="1" applyFill="1" applyBorder="1" applyProtection="1">
      <protection locked="0"/>
    </xf>
    <xf numFmtId="2" fontId="5" fillId="10" borderId="1" xfId="0" applyNumberFormat="1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shrinkToFit="1"/>
    </xf>
    <xf numFmtId="0" fontId="0" fillId="0" borderId="2" xfId="0" applyBorder="1"/>
    <xf numFmtId="0" fontId="0" fillId="0" borderId="5" xfId="0" applyBorder="1"/>
    <xf numFmtId="167" fontId="0" fillId="0" borderId="1" xfId="0" applyNumberFormat="1" applyBorder="1"/>
    <xf numFmtId="0" fontId="0" fillId="0" borderId="4" xfId="0" applyBorder="1"/>
    <xf numFmtId="0" fontId="47" fillId="0" borderId="3" xfId="0" applyFont="1" applyBorder="1"/>
    <xf numFmtId="0" fontId="38" fillId="0" borderId="3" xfId="0" applyFont="1" applyBorder="1"/>
    <xf numFmtId="0" fontId="49" fillId="0" borderId="3" xfId="0" applyFont="1" applyBorder="1"/>
    <xf numFmtId="0" fontId="51" fillId="0" borderId="3" xfId="0" applyFont="1" applyBorder="1"/>
    <xf numFmtId="0" fontId="52" fillId="0" borderId="3" xfId="0" applyFont="1" applyBorder="1"/>
    <xf numFmtId="0" fontId="54" fillId="0" borderId="3" xfId="0" applyFont="1" applyBorder="1"/>
    <xf numFmtId="0" fontId="56" fillId="0" borderId="3" xfId="0" applyFont="1" applyBorder="1"/>
    <xf numFmtId="0" fontId="2" fillId="0" borderId="1" xfId="0" applyFont="1" applyBorder="1" applyAlignment="1">
      <alignment horizontal="right"/>
    </xf>
    <xf numFmtId="166" fontId="0" fillId="0" borderId="1" xfId="0" applyNumberFormat="1" applyFill="1" applyBorder="1"/>
    <xf numFmtId="167" fontId="0" fillId="0" borderId="1" xfId="0" applyNumberFormat="1" applyFill="1" applyBorder="1"/>
    <xf numFmtId="167" fontId="0" fillId="0" borderId="1" xfId="0" applyNumberFormat="1" applyFont="1" applyBorder="1" applyAlignment="1">
      <alignment horizontal="right"/>
    </xf>
    <xf numFmtId="167" fontId="0" fillId="0" borderId="7" xfId="0" applyNumberFormat="1" applyFill="1" applyBorder="1"/>
    <xf numFmtId="166" fontId="0" fillId="0" borderId="2" xfId="0" applyNumberFormat="1" applyFill="1" applyBorder="1"/>
    <xf numFmtId="167" fontId="21" fillId="0" borderId="1" xfId="0" applyNumberFormat="1" applyFont="1" applyBorder="1"/>
    <xf numFmtId="167" fontId="2" fillId="0" borderId="0" xfId="0" applyNumberFormat="1" applyFont="1"/>
    <xf numFmtId="167" fontId="2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54" fillId="0" borderId="1" xfId="0" applyNumberFormat="1" applyFont="1" applyBorder="1" applyAlignment="1">
      <alignment horizontal="center"/>
    </xf>
    <xf numFmtId="2" fontId="54" fillId="0" borderId="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67" fontId="54" fillId="0" borderId="4" xfId="0" applyNumberFormat="1" applyFont="1" applyBorder="1" applyAlignment="1">
      <alignment horizontal="center"/>
    </xf>
    <xf numFmtId="164" fontId="57" fillId="6" borderId="1" xfId="0" applyNumberFormat="1" applyFont="1" applyFill="1" applyBorder="1" applyAlignment="1">
      <alignment horizontal="center"/>
    </xf>
    <xf numFmtId="167" fontId="0" fillId="0" borderId="2" xfId="0" applyNumberFormat="1" applyFill="1" applyBorder="1"/>
    <xf numFmtId="167" fontId="0" fillId="0" borderId="6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7" fontId="54" fillId="0" borderId="1" xfId="0" applyNumberFormat="1" applyFont="1" applyBorder="1" applyAlignment="1">
      <alignment horizontal="center"/>
    </xf>
    <xf numFmtId="167" fontId="54" fillId="0" borderId="1" xfId="0" applyNumberFormat="1" applyFont="1" applyFill="1" applyBorder="1" applyAlignment="1">
      <alignment horizontal="center"/>
    </xf>
    <xf numFmtId="167" fontId="54" fillId="0" borderId="0" xfId="0" applyNumberFormat="1" applyFont="1" applyAlignment="1">
      <alignment horizontal="center"/>
    </xf>
    <xf numFmtId="0" fontId="51" fillId="0" borderId="8" xfId="0" applyFont="1" applyBorder="1"/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167" fontId="2" fillId="0" borderId="0" xfId="0" applyNumberFormat="1" applyFont="1" applyAlignment="1">
      <alignment horizontal="center"/>
    </xf>
    <xf numFmtId="0" fontId="0" fillId="0" borderId="10" xfId="0" applyBorder="1"/>
    <xf numFmtId="167" fontId="9" fillId="0" borderId="1" xfId="0" applyNumberFormat="1" applyFont="1" applyBorder="1"/>
    <xf numFmtId="167" fontId="9" fillId="0" borderId="3" xfId="0" applyNumberFormat="1" applyFont="1" applyBorder="1"/>
    <xf numFmtId="167" fontId="8" fillId="0" borderId="0" xfId="0" quotePrefix="1" applyNumberFormat="1" applyFont="1"/>
    <xf numFmtId="0" fontId="9" fillId="2" borderId="0" xfId="0" applyFont="1" applyFill="1" applyBorder="1"/>
    <xf numFmtId="2" fontId="9" fillId="2" borderId="0" xfId="0" applyNumberFormat="1" applyFont="1" applyFill="1" applyBorder="1"/>
    <xf numFmtId="0" fontId="5" fillId="2" borderId="0" xfId="0" applyFont="1" applyFill="1"/>
    <xf numFmtId="0" fontId="9" fillId="2" borderId="0" xfId="0" applyFont="1" applyFill="1"/>
    <xf numFmtId="2" fontId="11" fillId="2" borderId="1" xfId="0" applyNumberFormat="1" applyFont="1" applyFill="1" applyBorder="1"/>
    <xf numFmtId="1" fontId="0" fillId="0" borderId="1" xfId="0" applyNumberFormat="1" applyBorder="1"/>
    <xf numFmtId="0" fontId="59" fillId="0" borderId="0" xfId="0" applyFont="1" applyBorder="1"/>
    <xf numFmtId="0" fontId="60" fillId="0" borderId="0" xfId="0" applyFont="1"/>
    <xf numFmtId="0" fontId="61" fillId="2" borderId="0" xfId="0" applyFont="1" applyFill="1" applyBorder="1"/>
    <xf numFmtId="2" fontId="61" fillId="2" borderId="0" xfId="0" applyNumberFormat="1" applyFont="1" applyFill="1" applyBorder="1"/>
    <xf numFmtId="0" fontId="11" fillId="0" borderId="0" xfId="0" applyFont="1" applyFill="1" applyBorder="1"/>
    <xf numFmtId="165" fontId="61" fillId="0" borderId="0" xfId="0" applyNumberFormat="1" applyFont="1" applyBorder="1" applyAlignment="1">
      <alignment horizontal="right"/>
    </xf>
    <xf numFmtId="0" fontId="32" fillId="0" borderId="0" xfId="0" applyFont="1"/>
    <xf numFmtId="0" fontId="11" fillId="0" borderId="0" xfId="0" applyFont="1" applyBorder="1" applyAlignment="1">
      <alignment horizontal="left"/>
    </xf>
    <xf numFmtId="167" fontId="54" fillId="13" borderId="4" xfId="0" applyNumberFormat="1" applyFont="1" applyFill="1" applyBorder="1" applyAlignment="1">
      <alignment horizontal="center"/>
    </xf>
    <xf numFmtId="0" fontId="43" fillId="12" borderId="0" xfId="0" applyFont="1" applyFill="1" applyProtection="1"/>
    <xf numFmtId="0" fontId="0" fillId="12" borderId="0" xfId="0" applyFill="1" applyProtection="1"/>
    <xf numFmtId="0" fontId="0" fillId="0" borderId="0" xfId="0" applyProtection="1"/>
    <xf numFmtId="0" fontId="33" fillId="0" borderId="0" xfId="0" applyFont="1" applyProtection="1"/>
    <xf numFmtId="0" fontId="44" fillId="0" borderId="3" xfId="0" applyFont="1" applyBorder="1" applyProtection="1"/>
    <xf numFmtId="0" fontId="0" fillId="0" borderId="8" xfId="0" applyFont="1" applyBorder="1" applyProtection="1"/>
    <xf numFmtId="0" fontId="0" fillId="0" borderId="6" xfId="0" applyFont="1" applyBorder="1" applyProtection="1"/>
    <xf numFmtId="0" fontId="0" fillId="0" borderId="0" xfId="0" applyFill="1" applyProtection="1"/>
    <xf numFmtId="0" fontId="0" fillId="0" borderId="1" xfId="0" applyBorder="1" applyProtection="1"/>
    <xf numFmtId="0" fontId="45" fillId="0" borderId="0" xfId="0" applyFont="1" applyProtection="1"/>
    <xf numFmtId="0" fontId="42" fillId="0" borderId="0" xfId="0" applyFont="1" applyProtection="1"/>
    <xf numFmtId="0" fontId="41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165" fontId="34" fillId="0" borderId="1" xfId="0" applyNumberFormat="1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9" xfId="0" applyFill="1" applyBorder="1" applyAlignment="1" applyProtection="1">
      <alignment horizontal="center" vertical="center"/>
    </xf>
    <xf numFmtId="164" fontId="0" fillId="0" borderId="9" xfId="0" applyNumberForma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0" fontId="2" fillId="0" borderId="1" xfId="0" applyFont="1" applyFill="1" applyBorder="1" applyProtection="1"/>
    <xf numFmtId="0" fontId="5" fillId="0" borderId="1" xfId="0" applyFont="1" applyFill="1" applyBorder="1" applyProtection="1"/>
    <xf numFmtId="0" fontId="2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4" fillId="0" borderId="7" xfId="0" applyFont="1" applyBorder="1" applyProtection="1"/>
    <xf numFmtId="0" fontId="5" fillId="0" borderId="0" xfId="0" applyFont="1" applyBorder="1" applyProtection="1"/>
    <xf numFmtId="0" fontId="63" fillId="0" borderId="0" xfId="0" applyFont="1" applyBorder="1" applyProtection="1"/>
    <xf numFmtId="0" fontId="9" fillId="0" borderId="0" xfId="0" applyFont="1" applyProtection="1"/>
    <xf numFmtId="164" fontId="2" fillId="8" borderId="1" xfId="0" applyNumberFormat="1" applyFont="1" applyFill="1" applyBorder="1" applyProtection="1"/>
    <xf numFmtId="0" fontId="4" fillId="0" borderId="7" xfId="0" applyFont="1" applyFill="1" applyBorder="1" applyProtection="1"/>
    <xf numFmtId="0" fontId="58" fillId="0" borderId="0" xfId="0" applyFont="1" applyFill="1" applyBorder="1" applyProtection="1"/>
    <xf numFmtId="0" fontId="65" fillId="0" borderId="0" xfId="0" applyFont="1" applyFill="1" applyBorder="1" applyProtection="1"/>
    <xf numFmtId="0" fontId="34" fillId="0" borderId="0" xfId="0" applyFont="1" applyProtection="1"/>
    <xf numFmtId="2" fontId="4" fillId="0" borderId="0" xfId="0" applyNumberFormat="1" applyFont="1" applyBorder="1" applyAlignment="1" applyProtection="1"/>
    <xf numFmtId="2" fontId="2" fillId="0" borderId="0" xfId="0" applyNumberFormat="1" applyFont="1" applyBorder="1" applyProtection="1"/>
    <xf numFmtId="0" fontId="5" fillId="0" borderId="1" xfId="0" applyFont="1" applyBorder="1" applyProtection="1"/>
    <xf numFmtId="0" fontId="34" fillId="13" borderId="0" xfId="0" applyFont="1" applyFill="1" applyBorder="1" applyProtection="1"/>
    <xf numFmtId="2" fontId="34" fillId="13" borderId="0" xfId="0" applyNumberFormat="1" applyFont="1" applyFill="1" applyBorder="1" applyProtection="1"/>
    <xf numFmtId="2" fontId="5" fillId="0" borderId="0" xfId="0" applyNumberFormat="1" applyFont="1" applyBorder="1" applyProtection="1"/>
    <xf numFmtId="2" fontId="34" fillId="0" borderId="0" xfId="0" applyNumberFormat="1" applyFont="1" applyFill="1" applyBorder="1" applyProtection="1"/>
    <xf numFmtId="0" fontId="0" fillId="1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 vertical="center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/>
    </xf>
    <xf numFmtId="0" fontId="34" fillId="0" borderId="1" xfId="0" applyFont="1" applyBorder="1" applyAlignment="1" applyProtection="1">
      <alignment horizontal="right" vertical="center"/>
    </xf>
    <xf numFmtId="0" fontId="39" fillId="11" borderId="3" xfId="0" applyFont="1" applyFill="1" applyBorder="1" applyAlignment="1" applyProtection="1">
      <alignment horizontal="right" vertical="center"/>
    </xf>
    <xf numFmtId="167" fontId="39" fillId="11" borderId="8" xfId="0" applyNumberFormat="1" applyFont="1" applyFill="1" applyBorder="1" applyAlignment="1" applyProtection="1">
      <alignment horizontal="center"/>
    </xf>
    <xf numFmtId="2" fontId="39" fillId="11" borderId="6" xfId="0" applyNumberFormat="1" applyFont="1" applyFill="1" applyBorder="1" applyProtection="1"/>
    <xf numFmtId="0" fontId="39" fillId="11" borderId="3" xfId="0" applyFont="1" applyFill="1" applyBorder="1" applyAlignment="1" applyProtection="1">
      <alignment horizontal="right"/>
    </xf>
    <xf numFmtId="0" fontId="39" fillId="11" borderId="6" xfId="0" applyFont="1" applyFill="1" applyBorder="1" applyProtection="1"/>
    <xf numFmtId="2" fontId="5" fillId="10" borderId="1" xfId="0" applyNumberFormat="1" applyFont="1" applyFill="1" applyBorder="1" applyProtection="1">
      <protection locked="0"/>
    </xf>
    <xf numFmtId="2" fontId="58" fillId="10" borderId="1" xfId="0" applyNumberFormat="1" applyFon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7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36</xdr:row>
      <xdr:rowOff>114300</xdr:rowOff>
    </xdr:from>
    <xdr:to>
      <xdr:col>13</xdr:col>
      <xdr:colOff>78317</xdr:colOff>
      <xdr:row>48</xdr:row>
      <xdr:rowOff>119425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200" y="5918200"/>
          <a:ext cx="5410200" cy="2227625"/>
        </a:xfrm>
        <a:prstGeom prst="rect">
          <a:avLst/>
        </a:prstGeom>
      </xdr:spPr>
    </xdr:pic>
    <xdr:clientData/>
  </xdr:twoCellAnchor>
  <xdr:twoCellAnchor editAs="oneCell">
    <xdr:from>
      <xdr:col>11</xdr:col>
      <xdr:colOff>264992</xdr:colOff>
      <xdr:row>17</xdr:row>
      <xdr:rowOff>55562</xdr:rowOff>
    </xdr:from>
    <xdr:to>
      <xdr:col>19</xdr:col>
      <xdr:colOff>211667</xdr:colOff>
      <xdr:row>31</xdr:row>
      <xdr:rowOff>33551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2575" y="3389312"/>
          <a:ext cx="5915675" cy="266615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787400</xdr:colOff>
      <xdr:row>4</xdr:row>
      <xdr:rowOff>139700</xdr:rowOff>
    </xdr:from>
    <xdr:to>
      <xdr:col>3</xdr:col>
      <xdr:colOff>74521</xdr:colOff>
      <xdr:row>8</xdr:row>
      <xdr:rowOff>88900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400" y="584200"/>
          <a:ext cx="1621804" cy="7239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476249</xdr:colOff>
      <xdr:row>17</xdr:row>
      <xdr:rowOff>31750</xdr:rowOff>
    </xdr:from>
    <xdr:to>
      <xdr:col>5</xdr:col>
      <xdr:colOff>611292</xdr:colOff>
      <xdr:row>24</xdr:row>
      <xdr:rowOff>67098</xdr:rowOff>
    </xdr:to>
    <xdr:pic>
      <xdr:nvPicPr>
        <xdr:cNvPr id="9" name="Image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332" y="3365500"/>
          <a:ext cx="1743710" cy="13900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677333</xdr:colOff>
      <xdr:row>17</xdr:row>
      <xdr:rowOff>31750</xdr:rowOff>
    </xdr:from>
    <xdr:to>
      <xdr:col>11</xdr:col>
      <xdr:colOff>179917</xdr:colOff>
      <xdr:row>33</xdr:row>
      <xdr:rowOff>188172</xdr:rowOff>
    </xdr:to>
    <xdr:pic>
      <xdr:nvPicPr>
        <xdr:cNvPr id="10" name="Image 9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3" y="3365500"/>
          <a:ext cx="3545417" cy="3225589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64</xdr:row>
      <xdr:rowOff>163513</xdr:rowOff>
    </xdr:from>
    <xdr:to>
      <xdr:col>8</xdr:col>
      <xdr:colOff>57150</xdr:colOff>
      <xdr:row>66</xdr:row>
      <xdr:rowOff>26988</xdr:rowOff>
    </xdr:to>
    <xdr:sp macro="" textlink="">
      <xdr:nvSpPr>
        <xdr:cNvPr id="4" name="ZoneTexte 3"/>
        <xdr:cNvSpPr txBox="1"/>
      </xdr:nvSpPr>
      <xdr:spPr>
        <a:xfrm>
          <a:off x="5840413" y="12514263"/>
          <a:ext cx="400050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120" zoomScaleNormal="120" zoomScalePageLayoutView="120" workbookViewId="0">
      <selection activeCell="D39" sqref="D39"/>
    </sheetView>
  </sheetViews>
  <sheetFormatPr baseColWidth="10" defaultRowHeight="14" x14ac:dyDescent="0"/>
  <cols>
    <col min="1" max="1" width="7.33203125" style="199" customWidth="1"/>
    <col min="2" max="2" width="9.5" style="199" customWidth="1"/>
    <col min="3" max="3" width="10.83203125" style="199" customWidth="1"/>
    <col min="4" max="4" width="11.6640625" style="199" customWidth="1"/>
    <col min="5" max="5" width="9.5" style="199" customWidth="1"/>
    <col min="6" max="6" width="11.33203125" style="199" customWidth="1"/>
    <col min="7" max="7" width="8.33203125" style="199" customWidth="1"/>
    <col min="8" max="8" width="9.5" style="199" customWidth="1"/>
    <col min="9" max="9" width="8.33203125" style="199" customWidth="1"/>
    <col min="10" max="10" width="7.33203125" style="199" customWidth="1"/>
    <col min="11" max="11" width="8.1640625" style="199" customWidth="1"/>
    <col min="12" max="12" width="7.6640625" style="199" customWidth="1"/>
    <col min="13" max="13" width="9.5" style="199" customWidth="1"/>
    <col min="14" max="14" width="10.5" style="199" customWidth="1"/>
    <col min="15" max="15" width="5.83203125" style="199" customWidth="1"/>
    <col min="16" max="16" width="6.6640625" style="199" customWidth="1"/>
    <col min="17" max="17" width="13" style="199" customWidth="1"/>
    <col min="18" max="18" width="12.5" style="199" customWidth="1"/>
    <col min="19" max="19" width="12.6640625" style="199" customWidth="1"/>
    <col min="20" max="20" width="12.5" style="199" customWidth="1"/>
    <col min="21" max="16384" width="10.83203125" style="199"/>
  </cols>
  <sheetData>
    <row r="1" spans="1:27" s="198" customFormat="1" ht="20">
      <c r="A1" s="197" t="s">
        <v>167</v>
      </c>
    </row>
    <row r="2" spans="1:27" ht="15">
      <c r="B2" s="200" t="s">
        <v>143</v>
      </c>
    </row>
    <row r="3" spans="1:27" ht="15">
      <c r="B3" s="200"/>
    </row>
    <row r="4" spans="1:27" ht="17">
      <c r="B4" s="201" t="s">
        <v>178</v>
      </c>
      <c r="C4" s="202"/>
      <c r="D4" s="203"/>
      <c r="E4" s="129"/>
      <c r="F4" s="204"/>
      <c r="G4" s="201" t="s">
        <v>181</v>
      </c>
      <c r="H4" s="202"/>
      <c r="I4" s="203"/>
      <c r="J4" s="205"/>
      <c r="K4" s="129"/>
      <c r="P4" s="206"/>
      <c r="Q4" s="206"/>
    </row>
    <row r="5" spans="1:27" ht="15">
      <c r="B5" s="207">
        <v>-0.51961666841230392</v>
      </c>
      <c r="C5" s="207">
        <v>1</v>
      </c>
      <c r="F5" s="208">
        <v>-0.47973282142575485</v>
      </c>
      <c r="G5" s="208">
        <v>1</v>
      </c>
    </row>
    <row r="6" spans="1:27" ht="15">
      <c r="B6" s="207">
        <v>-0.140186319</v>
      </c>
      <c r="C6" s="207">
        <v>0.43085447599999999</v>
      </c>
      <c r="D6" s="256" t="s">
        <v>164</v>
      </c>
      <c r="E6" s="257"/>
      <c r="F6" s="208">
        <v>-0.19911550664519018</v>
      </c>
      <c r="G6" s="208">
        <v>0.57907402782915296</v>
      </c>
      <c r="H6" s="256" t="s">
        <v>165</v>
      </c>
      <c r="I6" s="257"/>
      <c r="J6" s="209"/>
      <c r="K6" s="210"/>
    </row>
    <row r="7" spans="1:27" ht="16">
      <c r="B7" s="207">
        <v>-8.1671281524922534E-2</v>
      </c>
      <c r="C7" s="207">
        <v>0.28456688237504457</v>
      </c>
      <c r="D7" s="211" t="s">
        <v>166</v>
      </c>
      <c r="E7" s="212" t="s">
        <v>142</v>
      </c>
      <c r="F7" s="208">
        <v>-0.19438973346230903</v>
      </c>
      <c r="G7" s="208">
        <v>0.56962248146339067</v>
      </c>
      <c r="H7" s="211" t="s">
        <v>166</v>
      </c>
      <c r="I7" s="212" t="s">
        <v>142</v>
      </c>
      <c r="J7" s="210"/>
    </row>
    <row r="8" spans="1:27" ht="15">
      <c r="B8" s="207">
        <v>-2.7076567666979245E-2</v>
      </c>
      <c r="C8" s="207">
        <v>0.13443141926570051</v>
      </c>
      <c r="D8" s="134" t="str">
        <f>IF(E4=0.75,K4,"")</f>
        <v/>
      </c>
      <c r="E8" s="135" t="str">
        <f>IF(D8="","",IF(AND(D8&gt;=0,D8&lt;1.5),B5*D8+C5,(IF(AND(D8&gt;=1.5,D8&lt;2.5),B6*D8+C6,(IF(AND(D8&gt;=2.5,D8&lt;2.75),B7*D8+C7,(IF(AND(D8&gt;=2.75,D8&lt;3),B8*D8+C8,(IF(AND(D8&gt;=3,D8&lt;=4),B9*D8+C9,""))))))))))</f>
        <v/>
      </c>
      <c r="F8" s="208">
        <v>-6.5659882154509575E-2</v>
      </c>
      <c r="G8" s="208">
        <v>0.24779785319389203</v>
      </c>
      <c r="H8" s="134" t="str">
        <f>IF(E4=1,K4,"")</f>
        <v/>
      </c>
      <c r="I8" s="135" t="str">
        <f>IF(H8="","",IF(AND(H8&gt;=0,H8&lt;1.5),F5*H8+G5,(IF(AND(H8&gt;=1.5,H8&lt;2.5),F6*H8+G6,(IF(AND(H8&gt;=2.5,H8&lt;2.75),F7*H8+G7,(IF(AND(H8&gt;=2.75,H8&lt;3),F8*H8+G8,(IF(AND(H8&gt;=3,H8&lt;=4),F9*H8+G9,""))))))))))</f>
        <v/>
      </c>
      <c r="J8" s="210"/>
      <c r="M8" s="213"/>
    </row>
    <row r="9" spans="1:27" ht="15">
      <c r="B9" s="207">
        <v>-2.3724884784243672E-2</v>
      </c>
      <c r="C9" s="207">
        <v>0.12437637061749381</v>
      </c>
      <c r="D9" s="214"/>
      <c r="E9" s="215"/>
      <c r="F9" s="216"/>
      <c r="G9" s="216"/>
      <c r="H9" s="214"/>
      <c r="I9" s="215"/>
      <c r="J9" s="217"/>
      <c r="K9" s="217"/>
    </row>
    <row r="10" spans="1:27">
      <c r="D10" s="218"/>
      <c r="E10" s="219"/>
      <c r="F10" s="220"/>
    </row>
    <row r="11" spans="1:27" ht="15">
      <c r="B11" s="200" t="s">
        <v>144</v>
      </c>
    </row>
    <row r="13" spans="1:27" ht="17">
      <c r="A13" s="221" t="s">
        <v>168</v>
      </c>
      <c r="B13" s="222" t="s">
        <v>220</v>
      </c>
      <c r="C13" s="221" t="s">
        <v>169</v>
      </c>
      <c r="D13" s="221" t="s">
        <v>170</v>
      </c>
      <c r="E13" s="222" t="s">
        <v>221</v>
      </c>
      <c r="F13" s="223" t="s">
        <v>179</v>
      </c>
      <c r="G13" s="223" t="s">
        <v>171</v>
      </c>
      <c r="H13" s="221" t="s">
        <v>172</v>
      </c>
      <c r="I13" s="221" t="s">
        <v>173</v>
      </c>
      <c r="J13" s="221" t="s">
        <v>222</v>
      </c>
      <c r="K13" s="221" t="s">
        <v>225</v>
      </c>
      <c r="L13" s="221" t="s">
        <v>223</v>
      </c>
      <c r="M13" s="223" t="s">
        <v>21</v>
      </c>
      <c r="N13" s="223" t="s">
        <v>2</v>
      </c>
      <c r="O13" s="224" t="s">
        <v>70</v>
      </c>
      <c r="P13" s="221" t="s">
        <v>163</v>
      </c>
      <c r="Q13" s="221" t="s">
        <v>174</v>
      </c>
      <c r="R13" s="221" t="s">
        <v>175</v>
      </c>
      <c r="S13" s="221" t="s">
        <v>176</v>
      </c>
      <c r="T13" s="221" t="s">
        <v>177</v>
      </c>
      <c r="U13" s="225"/>
      <c r="V13" s="226"/>
      <c r="W13" s="227" t="s">
        <v>232</v>
      </c>
      <c r="X13" s="228"/>
      <c r="Y13" s="228"/>
      <c r="Z13" s="228"/>
      <c r="AA13" s="228"/>
    </row>
    <row r="14" spans="1:27" ht="15">
      <c r="A14" s="130"/>
      <c r="B14" s="253"/>
      <c r="C14" s="130"/>
      <c r="D14" s="130"/>
      <c r="E14" s="254"/>
      <c r="F14" s="131"/>
      <c r="G14" s="131"/>
      <c r="H14" s="132"/>
      <c r="I14" s="130"/>
      <c r="J14" s="130"/>
      <c r="K14" s="130"/>
      <c r="L14" s="130"/>
      <c r="M14" s="133"/>
      <c r="N14" s="130"/>
      <c r="O14" s="130"/>
      <c r="P14" s="229" t="str">
        <f>IF(H8="",E8,I8)</f>
        <v/>
      </c>
      <c r="Q14" s="130"/>
      <c r="R14" s="130"/>
      <c r="S14" s="130"/>
      <c r="T14" s="130"/>
      <c r="U14" s="230"/>
      <c r="V14" s="231"/>
      <c r="W14" s="232">
        <f>ATAN(1/1)</f>
        <v>0.78539816339744828</v>
      </c>
      <c r="X14" s="228"/>
      <c r="Y14" s="228"/>
      <c r="Z14" s="228"/>
      <c r="AA14" s="228"/>
    </row>
    <row r="15" spans="1:27" ht="15">
      <c r="B15" s="233"/>
      <c r="C15" s="233"/>
      <c r="D15" s="233"/>
      <c r="E15" s="233"/>
      <c r="F15" s="233"/>
      <c r="G15" s="233"/>
      <c r="H15" s="233"/>
      <c r="I15" s="233"/>
      <c r="J15" s="233"/>
      <c r="K15" s="234"/>
      <c r="L15" s="235"/>
    </row>
    <row r="16" spans="1:27" ht="15">
      <c r="B16" s="233" t="s">
        <v>231</v>
      </c>
      <c r="C16" s="233"/>
      <c r="D16" s="233"/>
      <c r="E16" s="233"/>
      <c r="F16" s="233"/>
      <c r="G16" s="233"/>
      <c r="H16" s="233"/>
      <c r="I16" s="233"/>
      <c r="J16" s="233"/>
      <c r="K16" s="234"/>
      <c r="L16" s="235"/>
    </row>
    <row r="17" spans="2:12" ht="15">
      <c r="B17" s="233"/>
      <c r="C17" s="233"/>
      <c r="D17" s="233"/>
      <c r="E17" s="233"/>
      <c r="F17" s="233"/>
      <c r="G17" s="233"/>
      <c r="H17" s="233"/>
      <c r="I17" s="233"/>
      <c r="J17" s="233"/>
      <c r="K17" s="234"/>
      <c r="L17" s="235"/>
    </row>
    <row r="18" spans="2:12" ht="17">
      <c r="B18" s="236" t="s">
        <v>14</v>
      </c>
      <c r="C18" s="236" t="s">
        <v>209</v>
      </c>
      <c r="D18" s="237"/>
      <c r="E18" s="237"/>
      <c r="F18" s="233"/>
      <c r="G18" s="233"/>
      <c r="I18" s="233"/>
      <c r="J18" s="233"/>
      <c r="K18" s="233"/>
      <c r="L18" s="233"/>
    </row>
    <row r="19" spans="2:12" ht="15">
      <c r="B19" s="236">
        <v>1</v>
      </c>
      <c r="C19" s="253"/>
      <c r="D19" s="237"/>
      <c r="E19" s="238"/>
      <c r="F19" s="233"/>
      <c r="G19" s="233"/>
      <c r="I19" s="233"/>
      <c r="J19" s="233"/>
      <c r="K19" s="233"/>
      <c r="L19" s="233"/>
    </row>
    <row r="20" spans="2:12" ht="15">
      <c r="B20" s="236">
        <v>2</v>
      </c>
      <c r="C20" s="253"/>
      <c r="D20" s="238"/>
      <c r="E20" s="238"/>
      <c r="F20" s="233"/>
      <c r="G20" s="233"/>
      <c r="H20" s="233"/>
      <c r="I20" s="233"/>
      <c r="J20" s="233"/>
      <c r="K20" s="233"/>
      <c r="L20" s="233"/>
    </row>
    <row r="21" spans="2:12" ht="15">
      <c r="B21" s="236">
        <v>3</v>
      </c>
      <c r="C21" s="253"/>
      <c r="D21" s="238"/>
      <c r="E21" s="238"/>
      <c r="F21" s="233"/>
      <c r="G21" s="233"/>
      <c r="H21" s="233"/>
      <c r="I21" s="233"/>
      <c r="J21" s="233"/>
      <c r="K21" s="233"/>
      <c r="L21" s="233"/>
    </row>
    <row r="22" spans="2:12" ht="15">
      <c r="B22" s="236">
        <v>4</v>
      </c>
      <c r="C22" s="253"/>
      <c r="D22" s="238"/>
      <c r="E22" s="238"/>
      <c r="F22" s="233"/>
      <c r="G22" s="233"/>
      <c r="H22" s="233"/>
      <c r="I22" s="233"/>
      <c r="J22" s="233"/>
      <c r="K22" s="233"/>
      <c r="L22" s="233"/>
    </row>
    <row r="23" spans="2:12" ht="15">
      <c r="B23" s="236">
        <v>5</v>
      </c>
      <c r="C23" s="253"/>
      <c r="D23" s="238"/>
      <c r="E23" s="238"/>
      <c r="F23" s="233"/>
      <c r="G23" s="233"/>
      <c r="H23" s="233"/>
      <c r="I23" s="233"/>
      <c r="J23" s="233"/>
      <c r="K23" s="233"/>
      <c r="L23" s="233"/>
    </row>
    <row r="24" spans="2:12" ht="15">
      <c r="B24" s="236">
        <v>6</v>
      </c>
      <c r="C24" s="253"/>
      <c r="D24" s="238"/>
      <c r="E24" s="238"/>
      <c r="F24" s="233"/>
      <c r="G24" s="233"/>
      <c r="H24" s="233"/>
      <c r="I24" s="233"/>
      <c r="J24" s="233"/>
      <c r="K24" s="233"/>
      <c r="L24" s="233"/>
    </row>
    <row r="25" spans="2:12" ht="15">
      <c r="B25" s="222">
        <v>7</v>
      </c>
      <c r="C25" s="253"/>
      <c r="D25" s="238"/>
      <c r="E25" s="238"/>
      <c r="F25" s="233"/>
      <c r="G25" s="233"/>
      <c r="H25" s="233"/>
      <c r="I25" s="233"/>
      <c r="J25" s="233"/>
      <c r="K25" s="233"/>
      <c r="L25" s="233"/>
    </row>
    <row r="26" spans="2:12" ht="15">
      <c r="B26" s="222">
        <v>8</v>
      </c>
      <c r="C26" s="253"/>
      <c r="D26" s="238"/>
      <c r="E26" s="238"/>
      <c r="F26" s="233"/>
      <c r="G26" s="233"/>
      <c r="H26" s="233"/>
      <c r="I26" s="233"/>
      <c r="J26" s="233"/>
      <c r="K26" s="233"/>
      <c r="L26" s="233"/>
    </row>
    <row r="27" spans="2:12" ht="15">
      <c r="B27" s="213"/>
      <c r="C27" s="239"/>
      <c r="D27" s="240"/>
      <c r="E27" s="240"/>
      <c r="F27" s="233"/>
      <c r="G27" s="233"/>
      <c r="H27" s="233"/>
      <c r="I27" s="233"/>
      <c r="J27" s="233"/>
      <c r="K27" s="233"/>
      <c r="L27" s="233"/>
    </row>
    <row r="28" spans="2:12" ht="15">
      <c r="B28" s="213"/>
      <c r="C28" s="239"/>
      <c r="D28" s="240"/>
      <c r="E28" s="240"/>
      <c r="F28" s="233"/>
      <c r="G28" s="233"/>
      <c r="H28" s="233"/>
      <c r="I28" s="233"/>
      <c r="J28" s="233"/>
      <c r="K28" s="233"/>
      <c r="L28" s="233"/>
    </row>
    <row r="29" spans="2:12" ht="15">
      <c r="B29" s="213"/>
      <c r="C29" s="239"/>
      <c r="D29" s="240"/>
      <c r="E29" s="240"/>
      <c r="F29" s="233"/>
      <c r="G29" s="233"/>
      <c r="H29" s="233"/>
      <c r="I29" s="233"/>
      <c r="J29" s="233"/>
      <c r="K29" s="233"/>
      <c r="L29" s="233"/>
    </row>
    <row r="30" spans="2:12" ht="15">
      <c r="B30" s="213"/>
      <c r="C30" s="239"/>
      <c r="D30" s="240"/>
      <c r="E30" s="240"/>
      <c r="F30" s="233"/>
      <c r="G30" s="233"/>
      <c r="H30" s="233"/>
      <c r="I30" s="233"/>
      <c r="J30" s="233"/>
      <c r="K30" s="233"/>
      <c r="L30" s="233"/>
    </row>
    <row r="31" spans="2:12" ht="15">
      <c r="B31" s="213"/>
      <c r="C31" s="239"/>
      <c r="D31" s="240"/>
      <c r="E31" s="240"/>
      <c r="F31" s="233"/>
      <c r="G31" s="233"/>
      <c r="H31" s="233"/>
      <c r="I31" s="233"/>
      <c r="J31" s="233"/>
      <c r="K31" s="233"/>
      <c r="L31" s="233"/>
    </row>
    <row r="32" spans="2:12" ht="15">
      <c r="B32" s="213"/>
      <c r="C32" s="239"/>
      <c r="D32" s="240"/>
      <c r="E32" s="240"/>
      <c r="F32" s="233"/>
      <c r="G32" s="233"/>
      <c r="H32" s="233"/>
      <c r="I32" s="233"/>
      <c r="J32" s="233"/>
      <c r="K32" s="233"/>
      <c r="L32" s="233"/>
    </row>
    <row r="33" spans="2:12" ht="15">
      <c r="B33" s="213"/>
      <c r="C33" s="239"/>
      <c r="D33" s="240"/>
      <c r="E33" s="240"/>
      <c r="F33" s="233"/>
      <c r="G33" s="233"/>
      <c r="H33" s="233"/>
      <c r="I33" s="233"/>
      <c r="J33" s="233"/>
      <c r="K33" s="233"/>
      <c r="L33" s="233"/>
    </row>
    <row r="34" spans="2:12" ht="15">
      <c r="B34" s="213"/>
      <c r="C34" s="239"/>
      <c r="D34" s="240"/>
      <c r="E34" s="240"/>
      <c r="F34" s="233"/>
      <c r="G34" s="233"/>
      <c r="H34" s="233"/>
      <c r="I34" s="233"/>
      <c r="J34" s="233"/>
      <c r="K34" s="233"/>
      <c r="L34" s="233"/>
    </row>
    <row r="35" spans="2:12" ht="15">
      <c r="B35" s="213"/>
      <c r="C35" s="239"/>
      <c r="D35" s="240"/>
      <c r="E35" s="240"/>
      <c r="F35" s="233"/>
      <c r="G35" s="233"/>
      <c r="H35" s="233"/>
      <c r="I35" s="233"/>
      <c r="J35" s="233"/>
      <c r="K35" s="233"/>
      <c r="L35" s="233"/>
    </row>
    <row r="37" spans="2:12" ht="15">
      <c r="B37" s="200" t="s">
        <v>145</v>
      </c>
    </row>
    <row r="39" spans="2:12">
      <c r="C39" s="241" t="s">
        <v>224</v>
      </c>
      <c r="D39" s="255"/>
    </row>
    <row r="40" spans="2:12">
      <c r="C40" s="242" t="s">
        <v>136</v>
      </c>
      <c r="D40" s="243" t="e">
        <f>D39/(G14)</f>
        <v>#DIV/0!</v>
      </c>
    </row>
    <row r="41" spans="2:12" ht="17">
      <c r="C41" s="244" t="s">
        <v>137</v>
      </c>
      <c r="D41" s="243">
        <f>E14*180/PI()</f>
        <v>0</v>
      </c>
    </row>
    <row r="42" spans="2:12">
      <c r="C42" s="245" t="s">
        <v>138</v>
      </c>
      <c r="D42" s="243" t="e">
        <f>I14/(G14)</f>
        <v>#DIV/0!</v>
      </c>
    </row>
    <row r="43" spans="2:12">
      <c r="C43" s="242" t="s">
        <v>139</v>
      </c>
      <c r="D43" s="243">
        <f>500*SIN(E14)</f>
        <v>0</v>
      </c>
    </row>
    <row r="44" spans="2:12" ht="17">
      <c r="B44" s="246" t="s">
        <v>140</v>
      </c>
      <c r="C44" s="247" t="s">
        <v>141</v>
      </c>
      <c r="D44" s="243" t="e">
        <f>0.04*(G14)*N14/M14</f>
        <v>#DIV/0!</v>
      </c>
    </row>
    <row r="51" spans="2:8" ht="15">
      <c r="B51" s="200" t="s">
        <v>146</v>
      </c>
    </row>
    <row r="53" spans="2:8" ht="18">
      <c r="B53" s="248" t="s">
        <v>147</v>
      </c>
      <c r="C53" s="249" t="e">
        <f>'résistance_section (3)'!B39</f>
        <v>#DIV/0!</v>
      </c>
      <c r="D53" s="250" t="s">
        <v>81</v>
      </c>
      <c r="F53" s="251" t="s">
        <v>148</v>
      </c>
      <c r="G53" s="249" t="e">
        <f>reaction_appui!K24</f>
        <v>#DIV/0!</v>
      </c>
      <c r="H53" s="252" t="s">
        <v>149</v>
      </c>
    </row>
  </sheetData>
  <sheetProtection password="DDF1" sheet="1" objects="1" scenarios="1" selectLockedCells="1"/>
  <mergeCells count="2">
    <mergeCell ref="D6:E6"/>
    <mergeCell ref="H6:I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zoomScale="125" zoomScaleNormal="125" zoomScalePageLayoutView="125" workbookViewId="0">
      <selection activeCell="C3" sqref="C3"/>
    </sheetView>
  </sheetViews>
  <sheetFormatPr baseColWidth="10" defaultRowHeight="14" x14ac:dyDescent="0"/>
  <cols>
    <col min="2" max="2" width="11.5" bestFit="1" customWidth="1"/>
    <col min="3" max="3" width="7.83203125" bestFit="1" customWidth="1"/>
    <col min="4" max="4" width="8.33203125" bestFit="1" customWidth="1"/>
    <col min="5" max="5" width="8.6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'largeur_eff_semelle (2)'!B5</f>
        <v>0</v>
      </c>
      <c r="E3" s="7">
        <f>largeur_eff_semelle!B10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MIN(15*F$3-données!I$19,0.5*E$3)-données!I19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7"/>
      <c r="D14" s="17"/>
      <c r="E14" s="17"/>
      <c r="F14" s="17"/>
      <c r="G14" s="17"/>
      <c r="H14" s="17"/>
      <c r="I14" s="106"/>
      <c r="J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'largeur_eff_semelle (2)'!O10-données!I19</f>
        <v>#DIV/0!</v>
      </c>
      <c r="D16" s="14" t="e">
        <f>C16*$F$3</f>
        <v>#DIV/0!</v>
      </c>
      <c r="E16" s="14"/>
      <c r="F16" s="14"/>
      <c r="G16" s="15"/>
      <c r="H16" s="15"/>
      <c r="I16" s="76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4" t="e">
        <f>'largeur_eff_semelle (2)'!O5-données!I19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7"/>
      <c r="D24" s="17"/>
      <c r="E24" s="17"/>
      <c r="F24" s="17"/>
      <c r="G24" s="17"/>
      <c r="H24" s="17"/>
      <c r="I24" s="106"/>
      <c r="J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7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7">
      <c r="B33" s="6">
        <f>données!G3</f>
        <v>0</v>
      </c>
      <c r="C33" s="11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7" ht="17">
      <c r="B35" s="7" t="s">
        <v>11</v>
      </c>
      <c r="C35" s="13" t="s">
        <v>58</v>
      </c>
      <c r="E35" t="s">
        <v>134</v>
      </c>
    </row>
    <row r="36" spans="2:7">
      <c r="B36" s="78" t="e">
        <f>E33</f>
        <v>#DIV/0!</v>
      </c>
      <c r="C36" s="105" t="e">
        <f>B36*données!E3*B33/largeur_eff_semelle!K5/'largeur_eff_semelle (2)'!J5</f>
        <v>#DIV/0!</v>
      </c>
      <c r="E36" t="e">
        <f>B33/'largeur_eff_semelle (2)'!K5/'largeur_eff_semelle (2)'!J5</f>
        <v>#DIV/0!</v>
      </c>
      <c r="G36" t="e">
        <f>B36*E36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C3" sqref="C3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7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83" t="e">
        <f>'largeur_eff_semelle (2)'!J5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32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32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32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2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83" t="e">
        <f>'raidisseur (2)'!B36*D10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workbookViewId="0">
      <selection activeCell="C3" sqref="C3"/>
    </sheetView>
  </sheetViews>
  <sheetFormatPr baseColWidth="10" defaultRowHeight="14" x14ac:dyDescent="0"/>
  <cols>
    <col min="2" max="2" width="11.5" bestFit="1" customWidth="1"/>
    <col min="3" max="3" width="7.83203125" bestFit="1" customWidth="1"/>
    <col min="4" max="4" width="8.33203125" bestFit="1" customWidth="1"/>
    <col min="5" max="5" width="8.6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'largeur_eff_semelle bis (2)'!B5</f>
        <v>0</v>
      </c>
      <c r="E3" s="7">
        <f>largeur_eff_semelle!B10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MIN(15*F$3-données!I$19,0.5*E$3)-données!I19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7"/>
      <c r="D14" s="17"/>
      <c r="E14" s="17"/>
      <c r="F14" s="17"/>
      <c r="G14" s="17"/>
      <c r="H14" s="17"/>
      <c r="I14" s="106"/>
      <c r="J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'largeur_eff_semelle bis (2)'!O10-données!I19</f>
        <v>#DIV/0!</v>
      </c>
      <c r="D16" s="14" t="e">
        <f>C16*$F$3</f>
        <v>#DIV/0!</v>
      </c>
      <c r="E16" s="14"/>
      <c r="F16" s="14"/>
      <c r="G16" s="15"/>
      <c r="H16" s="15"/>
      <c r="I16" s="76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4" t="e">
        <f>'largeur_eff_semelle bis (2)'!O5-données!I19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7"/>
      <c r="D24" s="17"/>
      <c r="E24" s="17"/>
      <c r="F24" s="17"/>
      <c r="G24" s="17"/>
      <c r="H24" s="17"/>
      <c r="I24" s="106"/>
      <c r="J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7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7">
      <c r="B33" s="6">
        <f>données!G3</f>
        <v>0</v>
      </c>
      <c r="C33" s="11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7" ht="17">
      <c r="B35" s="7" t="s">
        <v>11</v>
      </c>
      <c r="C35" s="13" t="s">
        <v>58</v>
      </c>
      <c r="E35" t="s">
        <v>134</v>
      </c>
    </row>
    <row r="36" spans="2:7">
      <c r="B36" s="78" t="e">
        <f>E33</f>
        <v>#DIV/0!</v>
      </c>
      <c r="C36" s="105" t="e">
        <f>B36*données!E3*B33/largeur_eff_semelle!K5/'largeur_eff_semelle (2)'!J5</f>
        <v>#DIV/0!</v>
      </c>
      <c r="E36" t="e">
        <f>B33/'largeur_eff_semelle (2)'!K5/'largeur_eff_semelle (2)'!J5</f>
        <v>#DIV/0!</v>
      </c>
      <c r="G36" t="e">
        <f>B36*E36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C3" sqref="C3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21</v>
      </c>
      <c r="E2" s="44" t="s">
        <v>70</v>
      </c>
      <c r="F2" s="43" t="s">
        <v>69</v>
      </c>
      <c r="G2" s="2" t="s">
        <v>74</v>
      </c>
      <c r="H2" s="2" t="s">
        <v>36</v>
      </c>
      <c r="I2" s="8"/>
    </row>
    <row r="3" spans="2:9">
      <c r="B3" s="2">
        <f>données!E3</f>
        <v>0</v>
      </c>
      <c r="C3" s="7">
        <f>données!H3</f>
        <v>0</v>
      </c>
      <c r="D3" s="47">
        <f>données!G3</f>
        <v>0</v>
      </c>
      <c r="E3" s="11">
        <v>1</v>
      </c>
      <c r="F3" s="11" t="e">
        <f>D3*(données!$J$30-résistance_section!H31)/résistance_section!H31</f>
        <v>#DIV/0!</v>
      </c>
      <c r="G3" s="7" t="e">
        <f>données!N3-résistance_section!H31</f>
        <v>#DIV/0!</v>
      </c>
      <c r="H3" s="2" t="e">
        <f>G3/SIN(données!B3)-données!C18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34</v>
      </c>
      <c r="C5" s="2" t="s">
        <v>35</v>
      </c>
      <c r="D5" s="2" t="s">
        <v>132</v>
      </c>
      <c r="E5" s="2" t="s">
        <v>133</v>
      </c>
      <c r="F5" s="8"/>
      <c r="G5" s="8"/>
      <c r="H5" s="8"/>
    </row>
    <row r="6" spans="2:9">
      <c r="B6" s="76" t="e">
        <f>0.95*B3*(C3/F3/E3)^0.5</f>
        <v>#DIV/0!</v>
      </c>
      <c r="C6" s="76" t="e">
        <f>B6</f>
        <v>#DIV/0!</v>
      </c>
      <c r="D6" s="7" t="e">
        <f>1.5*C6</f>
        <v>#DIV/0!</v>
      </c>
      <c r="E6" s="9" t="e">
        <f>C6+D6</f>
        <v>#DIV/0!</v>
      </c>
      <c r="F6" s="8"/>
      <c r="G6" s="79" t="s">
        <v>117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80" t="s">
        <v>8</v>
      </c>
      <c r="C8" s="81"/>
      <c r="D8" s="81"/>
      <c r="E8" s="81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topLeftCell="B44" zoomScale="130" zoomScaleNormal="130" zoomScalePageLayoutView="130" workbookViewId="0">
      <selection activeCell="C3" sqref="C3"/>
    </sheetView>
  </sheetViews>
  <sheetFormatPr baseColWidth="10" defaultRowHeight="14" x14ac:dyDescent="0"/>
  <cols>
    <col min="2" max="2" width="11.5" bestFit="1" customWidth="1"/>
  </cols>
  <sheetData>
    <row r="2" spans="2:11" ht="17">
      <c r="B2" s="2" t="s">
        <v>0</v>
      </c>
      <c r="C2" s="2" t="s">
        <v>2</v>
      </c>
      <c r="D2" s="2" t="s">
        <v>21</v>
      </c>
      <c r="E2" s="8"/>
      <c r="F2" s="8"/>
      <c r="G2" s="8"/>
      <c r="H2" s="8"/>
      <c r="I2" s="8"/>
      <c r="J2" s="8"/>
      <c r="K2" s="8"/>
    </row>
    <row r="3" spans="2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2:1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>
      <c r="B5" s="127"/>
      <c r="C5" s="127"/>
      <c r="D5" s="127"/>
      <c r="E5" s="127"/>
      <c r="F5" s="127"/>
      <c r="G5" s="39"/>
      <c r="H5" s="8"/>
      <c r="I5" s="8"/>
      <c r="J5" s="8"/>
      <c r="K5" s="8"/>
    </row>
    <row r="6" spans="2:11">
      <c r="B6" s="128"/>
      <c r="C6" s="128"/>
      <c r="D6" s="128"/>
      <c r="E6" s="127"/>
      <c r="F6" s="127"/>
      <c r="G6" s="39"/>
      <c r="H6" s="8"/>
      <c r="I6" s="8"/>
      <c r="J6" s="8"/>
      <c r="K6" s="8"/>
    </row>
    <row r="7" spans="2:1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2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7">
      <c r="B10" s="13" t="s">
        <v>5</v>
      </c>
      <c r="C10" s="13" t="s">
        <v>46</v>
      </c>
      <c r="D10" s="13" t="s">
        <v>53</v>
      </c>
      <c r="E10" s="13" t="s">
        <v>49</v>
      </c>
      <c r="F10" s="13" t="s">
        <v>47</v>
      </c>
      <c r="G10" s="13" t="s">
        <v>50</v>
      </c>
      <c r="H10" s="13" t="s">
        <v>48</v>
      </c>
      <c r="I10" s="22" t="s">
        <v>7</v>
      </c>
      <c r="J10" s="13" t="s">
        <v>51</v>
      </c>
      <c r="K10" s="23" t="s">
        <v>12</v>
      </c>
    </row>
    <row r="11" spans="2:11">
      <c r="B11" s="13">
        <v>1</v>
      </c>
      <c r="C11" s="14" t="e">
        <f>'largeur_eff_semelle bis (2)'!O10-données!I19</f>
        <v>#DIV/0!</v>
      </c>
      <c r="D11" s="78" t="e">
        <f>'raidisseur (2bis)'!$C$36</f>
        <v>#DIV/0!</v>
      </c>
      <c r="E11" s="105" t="e">
        <f>C11*D11</f>
        <v>#DIV/0!</v>
      </c>
      <c r="F11" s="14">
        <f>données!J30</f>
        <v>0</v>
      </c>
      <c r="G11" s="14" t="e">
        <f>E11*F11</f>
        <v>#DIV/0!</v>
      </c>
      <c r="H11" s="7" t="e">
        <f>$H$31-F11</f>
        <v>#DIV/0!</v>
      </c>
      <c r="I11" s="29">
        <f>données!M30</f>
        <v>0</v>
      </c>
      <c r="J11" s="7" t="e">
        <f>E11*I11^2/12+E11*H11^2</f>
        <v>#DIV/0!</v>
      </c>
      <c r="K11" s="100">
        <v>0.69759999999999989</v>
      </c>
    </row>
    <row r="12" spans="2:11">
      <c r="B12" s="13">
        <v>2</v>
      </c>
      <c r="C12" s="14">
        <f>données!C31</f>
        <v>0</v>
      </c>
      <c r="D12" s="78" t="e">
        <f>'raidisseur (2bis)'!$C$36</f>
        <v>#DIV/0!</v>
      </c>
      <c r="E12" s="105" t="e">
        <f t="shared" ref="E12:E16" si="0">C12*D12</f>
        <v>#DIV/0!</v>
      </c>
      <c r="F12" s="14" t="e">
        <f>données!J31</f>
        <v>#DIV/0!</v>
      </c>
      <c r="G12" s="14" t="e">
        <f t="shared" ref="G12:G28" si="1">E12*F12</f>
        <v>#DIV/0!</v>
      </c>
      <c r="H12" s="7" t="e">
        <f t="shared" ref="H12:H28" si="2">$H$31-F12</f>
        <v>#DIV/0!</v>
      </c>
      <c r="I12" s="29">
        <f>données!M31</f>
        <v>0</v>
      </c>
      <c r="J12" s="6" t="e">
        <f>B3*données!I$3^3*((données!D$3+SIN(données!D$3)*COS(données!D$3))/2-SIN(données!D$3)^2/données!D$3)+E12*H12^2</f>
        <v>#DIV/0!</v>
      </c>
      <c r="K12" s="101">
        <v>0</v>
      </c>
    </row>
    <row r="13" spans="2:11">
      <c r="B13" s="13">
        <v>3</v>
      </c>
      <c r="C13" s="14">
        <f>données!C32</f>
        <v>0</v>
      </c>
      <c r="D13" s="78" t="e">
        <f>'raidisseur (2bis)'!$C$36</f>
        <v>#DIV/0!</v>
      </c>
      <c r="E13" s="105" t="e">
        <f t="shared" si="0"/>
        <v>#DIV/0!</v>
      </c>
      <c r="F13" s="14">
        <f>données!J32</f>
        <v>0</v>
      </c>
      <c r="G13" s="14" t="e">
        <f t="shared" si="1"/>
        <v>#DIV/0!</v>
      </c>
      <c r="H13" s="7" t="e">
        <f t="shared" si="2"/>
        <v>#DIV/0!</v>
      </c>
      <c r="I13" s="29">
        <f>données!M32</f>
        <v>0</v>
      </c>
      <c r="J13" s="7" t="e">
        <f t="shared" ref="J13:J28" si="3">E13*I13^2/12+E13*H13^2</f>
        <v>#DIV/0!</v>
      </c>
      <c r="K13" s="101">
        <v>2.1851598703834356</v>
      </c>
    </row>
    <row r="14" spans="2:11">
      <c r="B14" s="13">
        <v>4</v>
      </c>
      <c r="C14" s="14">
        <f>données!C33</f>
        <v>0</v>
      </c>
      <c r="D14" s="78" t="e">
        <f>'raidisseur (2bis)'!$C$36</f>
        <v>#DIV/0!</v>
      </c>
      <c r="E14" s="105" t="e">
        <f t="shared" si="0"/>
        <v>#DIV/0!</v>
      </c>
      <c r="F14" s="14" t="e">
        <f>données!J33</f>
        <v>#DIV/0!</v>
      </c>
      <c r="G14" s="14" t="e">
        <f t="shared" si="1"/>
        <v>#DIV/0!</v>
      </c>
      <c r="H14" s="7" t="e">
        <f t="shared" si="2"/>
        <v>#DIV/0!</v>
      </c>
      <c r="I14" s="29">
        <f>données!M33</f>
        <v>0</v>
      </c>
      <c r="J14" s="72" t="e">
        <f>B3*(données!$I$3^3*((données!$L$17+SIN(données!$L$17)*COS(données!$L$17))/2-SIN(données!$L$17)^2/données!$L$17))+E14*H14^2</f>
        <v>#DIV/0!</v>
      </c>
      <c r="K14" s="101">
        <v>0</v>
      </c>
    </row>
    <row r="15" spans="2:11">
      <c r="B15" s="13">
        <v>5</v>
      </c>
      <c r="C15" s="14">
        <f>données!C34</f>
        <v>0</v>
      </c>
      <c r="D15" s="78" t="e">
        <f>'raidisseur (2bis)'!$C$36</f>
        <v>#DIV/0!</v>
      </c>
      <c r="E15" s="105" t="e">
        <f t="shared" si="0"/>
        <v>#DIV/0!</v>
      </c>
      <c r="F15" s="14">
        <f>données!J34</f>
        <v>0</v>
      </c>
      <c r="G15" s="14" t="e">
        <f t="shared" si="1"/>
        <v>#DIV/0!</v>
      </c>
      <c r="H15" s="7" t="e">
        <f t="shared" si="2"/>
        <v>#DIV/0!</v>
      </c>
      <c r="I15" s="29">
        <f>données!M34</f>
        <v>0</v>
      </c>
      <c r="J15" s="7" t="e">
        <f t="shared" si="3"/>
        <v>#DIV/0!</v>
      </c>
      <c r="K15" s="101">
        <v>2.1851598703834356</v>
      </c>
    </row>
    <row r="16" spans="2:11">
      <c r="B16" s="13">
        <v>6</v>
      </c>
      <c r="C16" s="14">
        <f>données!C35</f>
        <v>0</v>
      </c>
      <c r="D16" s="78" t="e">
        <f>'raidisseur (2bis)'!$C$36</f>
        <v>#DIV/0!</v>
      </c>
      <c r="E16" s="105" t="e">
        <f t="shared" si="0"/>
        <v>#DIV/0!</v>
      </c>
      <c r="F16" s="14" t="e">
        <f>données!J35</f>
        <v>#DIV/0!</v>
      </c>
      <c r="G16" s="14" t="e">
        <f t="shared" si="1"/>
        <v>#DIV/0!</v>
      </c>
      <c r="H16" s="7" t="e">
        <f t="shared" si="2"/>
        <v>#DIV/0!</v>
      </c>
      <c r="I16" s="29">
        <f>données!M35</f>
        <v>0</v>
      </c>
      <c r="J16" s="6" t="e">
        <f>B3*données!I$3^3*((données!D$3+SIN(données!D$3)*COS(données!D$3))/2-SIN(données!D$3)^2/données!D$3)+E16*H16^2</f>
        <v>#DIV/0!</v>
      </c>
      <c r="K16" s="101">
        <v>0</v>
      </c>
    </row>
    <row r="17" spans="2:11">
      <c r="B17" s="13">
        <v>71</v>
      </c>
      <c r="C17" s="21" t="e">
        <f>'largeur_eff_semelle bis (2)'!O5-données!I19</f>
        <v>#DIV/0!</v>
      </c>
      <c r="D17" s="78" t="e">
        <f>'raidisseur (2bis)'!$C$36</f>
        <v>#DIV/0!</v>
      </c>
      <c r="E17" s="105" t="e">
        <f>C17*D17</f>
        <v>#DIV/0!</v>
      </c>
      <c r="F17" s="14">
        <f>données!J36</f>
        <v>0</v>
      </c>
      <c r="G17" s="14" t="e">
        <f t="shared" si="1"/>
        <v>#DIV/0!</v>
      </c>
      <c r="H17" s="7" t="e">
        <f t="shared" si="2"/>
        <v>#DIV/0!</v>
      </c>
      <c r="I17" s="29">
        <f>données!M36</f>
        <v>0</v>
      </c>
      <c r="J17" s="7" t="e">
        <f t="shared" si="3"/>
        <v>#DIV/0!</v>
      </c>
      <c r="K17" s="101">
        <v>0.69759999999999989</v>
      </c>
    </row>
    <row r="18" spans="2:11">
      <c r="B18" s="13">
        <v>72</v>
      </c>
      <c r="C18" s="21" t="e">
        <f>'largeur_eff_semelle (2)'!O5-données!C19</f>
        <v>#DIV/0!</v>
      </c>
      <c r="D18" s="24">
        <f>$B$3</f>
        <v>0</v>
      </c>
      <c r="E18" s="14" t="e">
        <f t="shared" ref="E18:E28" si="4">C18*D18</f>
        <v>#DIV/0!</v>
      </c>
      <c r="F18" s="14">
        <f>données!J36</f>
        <v>0</v>
      </c>
      <c r="G18" s="14" t="e">
        <f t="shared" si="1"/>
        <v>#DIV/0!</v>
      </c>
      <c r="H18" s="7" t="e">
        <f t="shared" si="2"/>
        <v>#DIV/0!</v>
      </c>
      <c r="I18" s="29">
        <f>données!M36</f>
        <v>0</v>
      </c>
      <c r="J18" s="7" t="e">
        <f t="shared" si="3"/>
        <v>#DIV/0!</v>
      </c>
      <c r="K18" s="101">
        <v>0.69759999999999989</v>
      </c>
    </row>
    <row r="19" spans="2:11">
      <c r="B19" s="13">
        <v>8</v>
      </c>
      <c r="C19" s="21">
        <f>données!C37</f>
        <v>0</v>
      </c>
      <c r="D19" s="24">
        <f>$B$3</f>
        <v>0</v>
      </c>
      <c r="E19" s="14">
        <f t="shared" si="4"/>
        <v>0</v>
      </c>
      <c r="F19" s="14" t="e">
        <f>données!J37</f>
        <v>#DIV/0!</v>
      </c>
      <c r="G19" s="14" t="e">
        <f t="shared" si="1"/>
        <v>#DIV/0!</v>
      </c>
      <c r="H19" s="7" t="e">
        <f t="shared" si="2"/>
        <v>#DIV/0!</v>
      </c>
      <c r="I19" s="29">
        <f>données!M37</f>
        <v>0</v>
      </c>
      <c r="J19" s="6" t="e">
        <f>B3*données!J$3^3*((données!B$3+SIN(données!B$3)*COS(données!B$3))/2-SIN(données!B$3)^2/données!B$3)+E19*H19^2</f>
        <v>#DIV/0!</v>
      </c>
      <c r="K19" s="101">
        <v>0</v>
      </c>
    </row>
    <row r="20" spans="2:11">
      <c r="B20" s="13">
        <v>9</v>
      </c>
      <c r="C20" s="21">
        <f>données!C38</f>
        <v>0</v>
      </c>
      <c r="D20" s="24">
        <f>$B$3</f>
        <v>0</v>
      </c>
      <c r="E20" s="14">
        <f t="shared" si="4"/>
        <v>0</v>
      </c>
      <c r="F20" s="14">
        <f>données!J38</f>
        <v>0</v>
      </c>
      <c r="G20" s="14">
        <f t="shared" si="1"/>
        <v>0</v>
      </c>
      <c r="H20" s="7" t="e">
        <f t="shared" si="2"/>
        <v>#DIV/0!</v>
      </c>
      <c r="I20" s="29">
        <f>données!M38</f>
        <v>0</v>
      </c>
      <c r="J20" s="7" t="e">
        <f t="shared" si="3"/>
        <v>#DIV/0!</v>
      </c>
      <c r="K20" s="101">
        <v>52.580500878800436</v>
      </c>
    </row>
    <row r="21" spans="2:11">
      <c r="B21" s="13"/>
      <c r="C21" s="21">
        <f>-data!$Q$14</f>
        <v>0</v>
      </c>
      <c r="D21" s="99">
        <f>B3</f>
        <v>0</v>
      </c>
      <c r="E21" s="14">
        <f t="shared" si="4"/>
        <v>0</v>
      </c>
      <c r="F21" s="14">
        <f>data!$S$14</f>
        <v>0</v>
      </c>
      <c r="G21" s="14">
        <f t="shared" si="1"/>
        <v>0</v>
      </c>
      <c r="H21" s="7" t="e">
        <f t="shared" si="2"/>
        <v>#DIV/0!</v>
      </c>
      <c r="I21" s="107">
        <f>-C21*SIN(données!$B$3)</f>
        <v>0</v>
      </c>
      <c r="J21" s="7" t="e">
        <f>E21*I21^2/12+E21*H21^2</f>
        <v>#DIV/0!</v>
      </c>
      <c r="K21" s="101"/>
    </row>
    <row r="22" spans="2:11">
      <c r="B22" s="13"/>
      <c r="C22" s="21">
        <f>data!$Q$14</f>
        <v>0</v>
      </c>
      <c r="D22" s="99" t="e">
        <f>B3*données!R3</f>
        <v>#VALUE!</v>
      </c>
      <c r="E22" s="14" t="e">
        <f t="shared" si="4"/>
        <v>#VALUE!</v>
      </c>
      <c r="F22" s="14">
        <f>data!$S$14</f>
        <v>0</v>
      </c>
      <c r="G22" s="14" t="e">
        <f t="shared" si="1"/>
        <v>#VALUE!</v>
      </c>
      <c r="H22" s="7" t="e">
        <f t="shared" si="2"/>
        <v>#DIV/0!</v>
      </c>
      <c r="I22" s="107">
        <f>C22*SIN(données!$B$3)</f>
        <v>0</v>
      </c>
      <c r="J22" s="7" t="e">
        <f>E22*I22^2/12+E22*H22^2</f>
        <v>#VALUE!</v>
      </c>
      <c r="K22" s="101"/>
    </row>
    <row r="23" spans="2:11">
      <c r="B23" s="13"/>
      <c r="C23" s="21">
        <f>-data!$R$14</f>
        <v>0</v>
      </c>
      <c r="D23" s="99">
        <f>B3</f>
        <v>0</v>
      </c>
      <c r="E23" s="14">
        <f t="shared" si="4"/>
        <v>0</v>
      </c>
      <c r="F23" s="14">
        <f>data!$T$14</f>
        <v>0</v>
      </c>
      <c r="G23" s="14">
        <f t="shared" si="1"/>
        <v>0</v>
      </c>
      <c r="H23" s="7" t="e">
        <f t="shared" si="2"/>
        <v>#DIV/0!</v>
      </c>
      <c r="I23" s="107">
        <f>-C23*SIN(données!$B$3)</f>
        <v>0</v>
      </c>
      <c r="J23" s="7" t="e">
        <f>E23*I23^2/12+E23*H23^2</f>
        <v>#DIV/0!</v>
      </c>
      <c r="K23" s="101"/>
    </row>
    <row r="24" spans="2:11">
      <c r="B24" s="13"/>
      <c r="C24" s="21">
        <f>data!$R$14</f>
        <v>0</v>
      </c>
      <c r="D24" s="99" t="e">
        <f>B3*données!R3</f>
        <v>#VALUE!</v>
      </c>
      <c r="E24" s="14" t="e">
        <f t="shared" si="4"/>
        <v>#VALUE!</v>
      </c>
      <c r="F24" s="14">
        <f>data!$T$14</f>
        <v>0</v>
      </c>
      <c r="G24" s="14" t="e">
        <f t="shared" si="1"/>
        <v>#VALUE!</v>
      </c>
      <c r="H24" s="7" t="e">
        <f t="shared" si="2"/>
        <v>#DIV/0!</v>
      </c>
      <c r="I24" s="107">
        <f>C24*SIN(données!$B$3)</f>
        <v>0</v>
      </c>
      <c r="J24" s="7" t="e">
        <f>E24*I24^2/12+E24*H24^2</f>
        <v>#VALUE!</v>
      </c>
      <c r="K24" s="101"/>
    </row>
    <row r="25" spans="2:11">
      <c r="B25" s="13">
        <v>10</v>
      </c>
      <c r="C25" s="21">
        <f>données!C39</f>
        <v>0</v>
      </c>
      <c r="D25" s="24">
        <f t="shared" ref="D25:D27" si="5">$B$3</f>
        <v>0</v>
      </c>
      <c r="E25" s="14">
        <f t="shared" si="4"/>
        <v>0</v>
      </c>
      <c r="F25" s="14" t="e">
        <f>données!J39</f>
        <v>#DIV/0!</v>
      </c>
      <c r="G25" s="14" t="e">
        <f t="shared" si="1"/>
        <v>#DIV/0!</v>
      </c>
      <c r="H25" s="7" t="e">
        <f t="shared" si="2"/>
        <v>#DIV/0!</v>
      </c>
      <c r="I25" s="29">
        <f>données!M39</f>
        <v>0</v>
      </c>
      <c r="J25" s="72" t="e">
        <f>B3*données!$K$3^3*((données!$C$17+SIN(données!$C$17)*COS(données!$C$17))/2-SIN(données!$C$17)^2/données!$C$17)+E25*H25^2</f>
        <v>#DIV/0!</v>
      </c>
      <c r="K25" s="101">
        <v>0</v>
      </c>
    </row>
    <row r="26" spans="2:11">
      <c r="B26" s="13">
        <v>11</v>
      </c>
      <c r="C26" s="21">
        <f>données!C40</f>
        <v>0</v>
      </c>
      <c r="D26" s="24">
        <f t="shared" si="5"/>
        <v>0</v>
      </c>
      <c r="E26" s="14">
        <f t="shared" si="4"/>
        <v>0</v>
      </c>
      <c r="F26" s="14">
        <f>données!J40</f>
        <v>0</v>
      </c>
      <c r="G26" s="14">
        <f t="shared" si="1"/>
        <v>0</v>
      </c>
      <c r="H26" s="7" t="e">
        <f t="shared" si="2"/>
        <v>#DIV/0!</v>
      </c>
      <c r="I26" s="29">
        <f>données!M40</f>
        <v>0</v>
      </c>
      <c r="J26" s="7" t="e">
        <f t="shared" si="3"/>
        <v>#DIV/0!</v>
      </c>
      <c r="K26" s="101">
        <v>0.69759999999999989</v>
      </c>
    </row>
    <row r="27" spans="2:11">
      <c r="B27" s="13">
        <v>12</v>
      </c>
      <c r="C27" s="21">
        <f>données!C41</f>
        <v>0</v>
      </c>
      <c r="D27" s="24">
        <f t="shared" si="5"/>
        <v>0</v>
      </c>
      <c r="E27" s="14">
        <f t="shared" si="4"/>
        <v>0</v>
      </c>
      <c r="F27" s="14">
        <f>données!J41</f>
        <v>0</v>
      </c>
      <c r="G27" s="14">
        <f t="shared" si="1"/>
        <v>0</v>
      </c>
      <c r="H27" s="7" t="e">
        <f t="shared" si="2"/>
        <v>#DIV/0!</v>
      </c>
      <c r="I27" s="29">
        <f>données!M41</f>
        <v>0</v>
      </c>
      <c r="J27" s="7" t="e">
        <f t="shared" si="3"/>
        <v>#DIV/0!</v>
      </c>
      <c r="K27" s="101">
        <v>1</v>
      </c>
    </row>
    <row r="28" spans="2:11">
      <c r="B28" s="13">
        <v>13</v>
      </c>
      <c r="C28" s="21">
        <f>données!C42</f>
        <v>0</v>
      </c>
      <c r="D28" s="24">
        <f t="shared" ref="D28" si="6">$B$3</f>
        <v>0</v>
      </c>
      <c r="E28" s="14">
        <f t="shared" si="4"/>
        <v>0</v>
      </c>
      <c r="F28" s="14">
        <f>données!J42</f>
        <v>0</v>
      </c>
      <c r="G28" s="14">
        <f t="shared" si="1"/>
        <v>0</v>
      </c>
      <c r="H28" s="7" t="e">
        <f t="shared" si="2"/>
        <v>#DIV/0!</v>
      </c>
      <c r="I28" s="29">
        <f>données!M42</f>
        <v>0</v>
      </c>
      <c r="J28" s="7" t="e">
        <f t="shared" si="3"/>
        <v>#DIV/0!</v>
      </c>
      <c r="K28" s="101">
        <v>0.69759999999999989</v>
      </c>
    </row>
    <row r="29" spans="2:11">
      <c r="B29" s="13"/>
      <c r="C29" s="21"/>
      <c r="D29" s="24"/>
      <c r="E29" s="14"/>
      <c r="F29" s="14"/>
      <c r="G29" s="14"/>
      <c r="H29" s="7"/>
      <c r="I29" s="29"/>
      <c r="J29" s="6"/>
      <c r="K29" s="8"/>
    </row>
    <row r="30" spans="2:11">
      <c r="B30" s="13"/>
      <c r="C30" s="21"/>
      <c r="D30" s="24"/>
      <c r="E30" s="14"/>
      <c r="F30" s="14"/>
      <c r="G30" s="14"/>
      <c r="H30" s="7"/>
      <c r="I30" s="29"/>
      <c r="J30" s="7"/>
      <c r="K30" s="8"/>
    </row>
    <row r="31" spans="2:11">
      <c r="B31" s="13" t="s">
        <v>6</v>
      </c>
      <c r="C31" s="8"/>
      <c r="D31" s="8"/>
      <c r="E31" s="25" t="e">
        <f>SUM(E11:E30)</f>
        <v>#DIV/0!</v>
      </c>
      <c r="F31" s="8"/>
      <c r="G31" s="25" t="e">
        <f>SUM(G11:G30)</f>
        <v>#DIV/0!</v>
      </c>
      <c r="H31" s="25" t="e">
        <f>G31/E31</f>
        <v>#DIV/0!</v>
      </c>
      <c r="I31" s="8"/>
      <c r="J31" s="12" t="e">
        <f>SUM(J11:J30)</f>
        <v>#DIV/0!</v>
      </c>
      <c r="K31" s="8" t="s">
        <v>76</v>
      </c>
    </row>
    <row r="32" spans="2:11">
      <c r="B32" s="8"/>
      <c r="C32" s="8"/>
      <c r="D32" s="8"/>
      <c r="E32" s="8"/>
      <c r="F32" s="8"/>
      <c r="G32" s="8"/>
      <c r="H32" s="9" t="e">
        <f>données!N3-'résistance_section (2)'!H31</f>
        <v>#DIV/0!</v>
      </c>
      <c r="I32" s="8"/>
      <c r="J32" s="8" t="e">
        <f>J31*2</f>
        <v>#DIV/0!</v>
      </c>
      <c r="K32" s="8" t="s">
        <v>78</v>
      </c>
    </row>
    <row r="33" spans="2:11">
      <c r="B33" s="8" t="s">
        <v>57</v>
      </c>
      <c r="C33" s="8" t="e">
        <f>J31/MAX(H31,H32)</f>
        <v>#DIV/0!</v>
      </c>
      <c r="D33" s="8" t="s">
        <v>76</v>
      </c>
      <c r="E33" s="8"/>
      <c r="F33" s="8"/>
      <c r="G33" s="8"/>
      <c r="H33" s="8"/>
      <c r="I33" s="8"/>
      <c r="J33" s="8" t="e">
        <f>J32/données!M3</f>
        <v>#DIV/0!</v>
      </c>
      <c r="K33" s="8"/>
    </row>
    <row r="34" spans="2:11">
      <c r="B34" s="8" t="s">
        <v>57</v>
      </c>
      <c r="C34" s="8" t="e">
        <f>2*C33</f>
        <v>#DIV/0!</v>
      </c>
      <c r="D34" s="8" t="s">
        <v>78</v>
      </c>
      <c r="E34" s="8"/>
      <c r="F34" s="8"/>
      <c r="G34" s="8"/>
      <c r="H34" s="8"/>
      <c r="I34" s="8"/>
      <c r="J34" s="8"/>
      <c r="K34" s="8"/>
    </row>
    <row r="35" spans="2:11">
      <c r="B35" s="8" t="s">
        <v>57</v>
      </c>
      <c r="C35" s="8" t="e">
        <f>C34/données!M3</f>
        <v>#DIV/0!</v>
      </c>
      <c r="D35" s="8" t="s">
        <v>79</v>
      </c>
      <c r="E35" s="8"/>
      <c r="F35" s="8"/>
      <c r="G35" s="8"/>
      <c r="H35" s="8"/>
      <c r="I35" s="8"/>
      <c r="J35" s="8"/>
      <c r="K35" s="8"/>
    </row>
    <row r="36" spans="2:1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>
      <c r="B37" s="8" t="s">
        <v>13</v>
      </c>
      <c r="C37" s="8" t="s">
        <v>13</v>
      </c>
      <c r="D37" s="8"/>
      <c r="E37" s="8"/>
      <c r="F37" s="8"/>
      <c r="G37" s="8"/>
      <c r="H37" s="8"/>
      <c r="I37" s="8"/>
      <c r="J37" s="8"/>
      <c r="K37" s="8"/>
    </row>
    <row r="38" spans="2:11">
      <c r="B38" s="30" t="e">
        <f>D3*C35*1</f>
        <v>#DIV/0!</v>
      </c>
      <c r="C38" s="32" t="s">
        <v>80</v>
      </c>
      <c r="D38" s="8"/>
      <c r="E38" s="8"/>
      <c r="F38" s="8"/>
      <c r="G38" s="8"/>
      <c r="H38" s="8"/>
      <c r="I38" s="8"/>
      <c r="J38" s="8"/>
      <c r="K38" s="8"/>
    </row>
    <row r="39" spans="2:11">
      <c r="B39" s="49" t="e">
        <f>B38/1000</f>
        <v>#DIV/0!</v>
      </c>
      <c r="C39" t="s">
        <v>81</v>
      </c>
      <c r="D39" t="e">
        <f>(5.03-B39)/5.03</f>
        <v>#DIV/0!</v>
      </c>
    </row>
    <row r="40" spans="2:11">
      <c r="B40" s="31"/>
    </row>
    <row r="41" spans="2:11">
      <c r="B41" s="31"/>
    </row>
    <row r="42" spans="2:11" ht="17">
      <c r="B42" s="13" t="s">
        <v>5</v>
      </c>
      <c r="C42" s="13" t="s">
        <v>214</v>
      </c>
      <c r="D42" s="13" t="s">
        <v>53</v>
      </c>
      <c r="E42" s="13" t="s">
        <v>49</v>
      </c>
      <c r="F42" s="13" t="s">
        <v>47</v>
      </c>
      <c r="G42" s="13" t="s">
        <v>50</v>
      </c>
      <c r="H42" s="13" t="s">
        <v>48</v>
      </c>
      <c r="I42" s="22" t="s">
        <v>7</v>
      </c>
      <c r="J42" s="13" t="s">
        <v>51</v>
      </c>
    </row>
    <row r="43" spans="2:11">
      <c r="B43" s="13">
        <v>1</v>
      </c>
      <c r="C43" s="162" t="e">
        <f>C11</f>
        <v>#DIV/0!</v>
      </c>
      <c r="D43" s="162" t="e">
        <f t="shared" ref="D43:J43" si="7">D11</f>
        <v>#DIV/0!</v>
      </c>
      <c r="E43" s="170" t="e">
        <f t="shared" si="7"/>
        <v>#DIV/0!</v>
      </c>
      <c r="F43" s="170">
        <f t="shared" si="7"/>
        <v>0</v>
      </c>
      <c r="G43" s="170" t="e">
        <f t="shared" si="7"/>
        <v>#DIV/0!</v>
      </c>
      <c r="H43" s="170" t="e">
        <f t="shared" si="7"/>
        <v>#DIV/0!</v>
      </c>
      <c r="I43" s="170">
        <f t="shared" si="7"/>
        <v>0</v>
      </c>
      <c r="J43" s="170" t="e">
        <f t="shared" si="7"/>
        <v>#DIV/0!</v>
      </c>
    </row>
    <row r="44" spans="2:11">
      <c r="B44" s="13">
        <v>2</v>
      </c>
      <c r="C44" s="162">
        <f>C13</f>
        <v>0</v>
      </c>
      <c r="D44" s="162" t="e">
        <f t="shared" ref="D44:J44" si="8">D13</f>
        <v>#DIV/0!</v>
      </c>
      <c r="E44" s="170" t="e">
        <f t="shared" si="8"/>
        <v>#DIV/0!</v>
      </c>
      <c r="F44" s="170">
        <f t="shared" si="8"/>
        <v>0</v>
      </c>
      <c r="G44" s="170" t="e">
        <f t="shared" si="8"/>
        <v>#DIV/0!</v>
      </c>
      <c r="H44" s="170" t="e">
        <f t="shared" si="8"/>
        <v>#DIV/0!</v>
      </c>
      <c r="I44" s="170">
        <f t="shared" si="8"/>
        <v>0</v>
      </c>
      <c r="J44" s="170" t="e">
        <f t="shared" si="8"/>
        <v>#DIV/0!</v>
      </c>
    </row>
    <row r="45" spans="2:11">
      <c r="B45" s="13" t="s">
        <v>210</v>
      </c>
      <c r="C45" s="162">
        <f t="shared" ref="C45:J46" si="9">C14</f>
        <v>0</v>
      </c>
      <c r="D45" s="162" t="e">
        <f t="shared" si="9"/>
        <v>#DIV/0!</v>
      </c>
      <c r="E45" s="170" t="e">
        <f t="shared" si="9"/>
        <v>#DIV/0!</v>
      </c>
      <c r="F45" s="170" t="e">
        <f t="shared" si="9"/>
        <v>#DIV/0!</v>
      </c>
      <c r="G45" s="170" t="e">
        <f t="shared" si="9"/>
        <v>#DIV/0!</v>
      </c>
      <c r="H45" s="170" t="e">
        <f t="shared" si="9"/>
        <v>#DIV/0!</v>
      </c>
      <c r="I45" s="170">
        <f t="shared" si="9"/>
        <v>0</v>
      </c>
      <c r="J45" s="170" t="e">
        <f t="shared" si="9"/>
        <v>#DIV/0!</v>
      </c>
    </row>
    <row r="46" spans="2:11">
      <c r="B46" s="13">
        <v>3</v>
      </c>
      <c r="C46" s="162">
        <f t="shared" si="9"/>
        <v>0</v>
      </c>
      <c r="D46" s="162" t="e">
        <f t="shared" si="9"/>
        <v>#DIV/0!</v>
      </c>
      <c r="E46" s="170" t="e">
        <f t="shared" si="9"/>
        <v>#DIV/0!</v>
      </c>
      <c r="F46" s="170">
        <f t="shared" si="9"/>
        <v>0</v>
      </c>
      <c r="G46" s="170" t="e">
        <f t="shared" si="9"/>
        <v>#DIV/0!</v>
      </c>
      <c r="H46" s="170" t="e">
        <f t="shared" si="9"/>
        <v>#DIV/0!</v>
      </c>
      <c r="I46" s="170">
        <f t="shared" si="9"/>
        <v>0</v>
      </c>
      <c r="J46" s="170" t="e">
        <f t="shared" si="9"/>
        <v>#DIV/0!</v>
      </c>
    </row>
    <row r="47" spans="2:11">
      <c r="B47" s="13">
        <v>41</v>
      </c>
      <c r="C47" s="162" t="e">
        <f>C17</f>
        <v>#DIV/0!</v>
      </c>
      <c r="D47" s="162" t="e">
        <f t="shared" ref="D47:J47" si="10">D17</f>
        <v>#DIV/0!</v>
      </c>
      <c r="E47" s="170" t="e">
        <f t="shared" si="10"/>
        <v>#DIV/0!</v>
      </c>
      <c r="F47" s="170">
        <f t="shared" si="10"/>
        <v>0</v>
      </c>
      <c r="G47" s="170" t="e">
        <f t="shared" si="10"/>
        <v>#DIV/0!</v>
      </c>
      <c r="H47" s="170" t="e">
        <f t="shared" si="10"/>
        <v>#DIV/0!</v>
      </c>
      <c r="I47" s="170">
        <f t="shared" si="10"/>
        <v>0</v>
      </c>
      <c r="J47" s="170" t="e">
        <f t="shared" si="10"/>
        <v>#DIV/0!</v>
      </c>
    </row>
    <row r="48" spans="2:11">
      <c r="B48" s="13">
        <v>42</v>
      </c>
      <c r="C48" s="162" t="e">
        <f t="shared" ref="C48:J58" si="11">C18</f>
        <v>#DIV/0!</v>
      </c>
      <c r="D48" s="162">
        <f t="shared" si="11"/>
        <v>0</v>
      </c>
      <c r="E48" s="170" t="e">
        <f t="shared" si="11"/>
        <v>#DIV/0!</v>
      </c>
      <c r="F48" s="170">
        <f t="shared" si="11"/>
        <v>0</v>
      </c>
      <c r="G48" s="170" t="e">
        <f t="shared" si="11"/>
        <v>#DIV/0!</v>
      </c>
      <c r="H48" s="170" t="e">
        <f t="shared" si="11"/>
        <v>#DIV/0!</v>
      </c>
      <c r="I48" s="170">
        <f t="shared" si="11"/>
        <v>0</v>
      </c>
      <c r="J48" s="170" t="e">
        <f t="shared" si="11"/>
        <v>#DIV/0!</v>
      </c>
    </row>
    <row r="49" spans="2:10" ht="17">
      <c r="B49" s="13" t="s">
        <v>211</v>
      </c>
      <c r="C49" s="162">
        <f t="shared" si="11"/>
        <v>0</v>
      </c>
      <c r="D49" s="162">
        <f t="shared" si="11"/>
        <v>0</v>
      </c>
      <c r="E49" s="170">
        <f t="shared" si="11"/>
        <v>0</v>
      </c>
      <c r="F49" s="170" t="e">
        <f t="shared" si="11"/>
        <v>#DIV/0!</v>
      </c>
      <c r="G49" s="170" t="e">
        <f t="shared" si="11"/>
        <v>#DIV/0!</v>
      </c>
      <c r="H49" s="170" t="e">
        <f t="shared" si="11"/>
        <v>#DIV/0!</v>
      </c>
      <c r="I49" s="170">
        <f t="shared" si="11"/>
        <v>0</v>
      </c>
      <c r="J49" s="170" t="e">
        <f t="shared" si="11"/>
        <v>#DIV/0!</v>
      </c>
    </row>
    <row r="50" spans="2:10">
      <c r="B50" s="13">
        <v>5</v>
      </c>
      <c r="C50" s="162">
        <f t="shared" si="11"/>
        <v>0</v>
      </c>
      <c r="D50" s="162">
        <f t="shared" si="11"/>
        <v>0</v>
      </c>
      <c r="E50" s="170">
        <f t="shared" si="11"/>
        <v>0</v>
      </c>
      <c r="F50" s="170">
        <f t="shared" si="11"/>
        <v>0</v>
      </c>
      <c r="G50" s="170">
        <f t="shared" si="11"/>
        <v>0</v>
      </c>
      <c r="H50" s="170" t="e">
        <f t="shared" si="11"/>
        <v>#DIV/0!</v>
      </c>
      <c r="I50" s="170">
        <f t="shared" si="11"/>
        <v>0</v>
      </c>
      <c r="J50" s="170" t="e">
        <f t="shared" si="11"/>
        <v>#DIV/0!</v>
      </c>
    </row>
    <row r="51" spans="2:10">
      <c r="B51" s="258" t="s">
        <v>217</v>
      </c>
      <c r="C51" s="162">
        <f t="shared" si="11"/>
        <v>0</v>
      </c>
      <c r="D51" s="162">
        <f t="shared" si="11"/>
        <v>0</v>
      </c>
      <c r="E51" s="170">
        <f t="shared" si="11"/>
        <v>0</v>
      </c>
      <c r="F51" s="170">
        <f t="shared" si="11"/>
        <v>0</v>
      </c>
      <c r="G51" s="170">
        <f t="shared" si="11"/>
        <v>0</v>
      </c>
      <c r="H51" s="170" t="e">
        <f t="shared" si="11"/>
        <v>#DIV/0!</v>
      </c>
      <c r="I51" s="170">
        <f t="shared" si="11"/>
        <v>0</v>
      </c>
      <c r="J51" s="170" t="e">
        <f t="shared" si="11"/>
        <v>#DIV/0!</v>
      </c>
    </row>
    <row r="52" spans="2:10">
      <c r="B52" s="259"/>
      <c r="C52" s="162">
        <f t="shared" si="11"/>
        <v>0</v>
      </c>
      <c r="D52" s="162" t="e">
        <f t="shared" si="11"/>
        <v>#VALUE!</v>
      </c>
      <c r="E52" s="170" t="e">
        <f t="shared" si="11"/>
        <v>#VALUE!</v>
      </c>
      <c r="F52" s="170">
        <f t="shared" si="11"/>
        <v>0</v>
      </c>
      <c r="G52" s="170" t="e">
        <f t="shared" si="11"/>
        <v>#VALUE!</v>
      </c>
      <c r="H52" s="170" t="e">
        <f t="shared" si="11"/>
        <v>#DIV/0!</v>
      </c>
      <c r="I52" s="170">
        <f t="shared" si="11"/>
        <v>0</v>
      </c>
      <c r="J52" s="170" t="e">
        <f t="shared" si="11"/>
        <v>#VALUE!</v>
      </c>
    </row>
    <row r="53" spans="2:10">
      <c r="B53" s="258" t="s">
        <v>218</v>
      </c>
      <c r="C53" s="162">
        <f t="shared" si="11"/>
        <v>0</v>
      </c>
      <c r="D53" s="162">
        <f t="shared" si="11"/>
        <v>0</v>
      </c>
      <c r="E53" s="170">
        <f t="shared" si="11"/>
        <v>0</v>
      </c>
      <c r="F53" s="170">
        <f t="shared" si="11"/>
        <v>0</v>
      </c>
      <c r="G53" s="170">
        <f t="shared" si="11"/>
        <v>0</v>
      </c>
      <c r="H53" s="170" t="e">
        <f t="shared" si="11"/>
        <v>#DIV/0!</v>
      </c>
      <c r="I53" s="170">
        <f t="shared" si="11"/>
        <v>0</v>
      </c>
      <c r="J53" s="170" t="e">
        <f t="shared" si="11"/>
        <v>#DIV/0!</v>
      </c>
    </row>
    <row r="54" spans="2:10">
      <c r="B54" s="259"/>
      <c r="C54" s="162">
        <f t="shared" si="11"/>
        <v>0</v>
      </c>
      <c r="D54" s="162" t="e">
        <f t="shared" si="11"/>
        <v>#VALUE!</v>
      </c>
      <c r="E54" s="170" t="e">
        <f t="shared" si="11"/>
        <v>#VALUE!</v>
      </c>
      <c r="F54" s="170">
        <f t="shared" si="11"/>
        <v>0</v>
      </c>
      <c r="G54" s="170" t="e">
        <f t="shared" si="11"/>
        <v>#VALUE!</v>
      </c>
      <c r="H54" s="170" t="e">
        <f t="shared" si="11"/>
        <v>#DIV/0!</v>
      </c>
      <c r="I54" s="170">
        <f t="shared" si="11"/>
        <v>0</v>
      </c>
      <c r="J54" s="170" t="e">
        <f t="shared" si="11"/>
        <v>#VALUE!</v>
      </c>
    </row>
    <row r="55" spans="2:10" ht="17">
      <c r="B55" s="13" t="s">
        <v>212</v>
      </c>
      <c r="C55" s="162">
        <f t="shared" si="11"/>
        <v>0</v>
      </c>
      <c r="D55" s="162">
        <f t="shared" si="11"/>
        <v>0</v>
      </c>
      <c r="E55" s="170">
        <f t="shared" si="11"/>
        <v>0</v>
      </c>
      <c r="F55" s="170" t="e">
        <f t="shared" si="11"/>
        <v>#DIV/0!</v>
      </c>
      <c r="G55" s="170" t="e">
        <f t="shared" si="11"/>
        <v>#DIV/0!</v>
      </c>
      <c r="H55" s="170" t="e">
        <f t="shared" si="11"/>
        <v>#DIV/0!</v>
      </c>
      <c r="I55" s="170">
        <f t="shared" si="11"/>
        <v>0</v>
      </c>
      <c r="J55" s="170" t="e">
        <f t="shared" si="11"/>
        <v>#DIV/0!</v>
      </c>
    </row>
    <row r="56" spans="2:10">
      <c r="B56" s="13">
        <v>6</v>
      </c>
      <c r="C56" s="162">
        <f t="shared" si="11"/>
        <v>0</v>
      </c>
      <c r="D56" s="162">
        <f t="shared" si="11"/>
        <v>0</v>
      </c>
      <c r="E56" s="170">
        <f t="shared" si="11"/>
        <v>0</v>
      </c>
      <c r="F56" s="170">
        <f t="shared" si="11"/>
        <v>0</v>
      </c>
      <c r="G56" s="170">
        <f t="shared" si="11"/>
        <v>0</v>
      </c>
      <c r="H56" s="170" t="e">
        <f t="shared" si="11"/>
        <v>#DIV/0!</v>
      </c>
      <c r="I56" s="170">
        <f t="shared" si="11"/>
        <v>0</v>
      </c>
      <c r="J56" s="170" t="e">
        <f t="shared" si="11"/>
        <v>#DIV/0!</v>
      </c>
    </row>
    <row r="57" spans="2:10">
      <c r="B57" s="13">
        <v>7</v>
      </c>
      <c r="C57" s="162">
        <f t="shared" si="11"/>
        <v>0</v>
      </c>
      <c r="D57" s="162">
        <f t="shared" si="11"/>
        <v>0</v>
      </c>
      <c r="E57" s="170">
        <f t="shared" si="11"/>
        <v>0</v>
      </c>
      <c r="F57" s="170">
        <f t="shared" si="11"/>
        <v>0</v>
      </c>
      <c r="G57" s="170">
        <f t="shared" si="11"/>
        <v>0</v>
      </c>
      <c r="H57" s="170" t="e">
        <f t="shared" si="11"/>
        <v>#DIV/0!</v>
      </c>
      <c r="I57" s="170">
        <f t="shared" si="11"/>
        <v>0</v>
      </c>
      <c r="J57" s="170" t="e">
        <f t="shared" si="11"/>
        <v>#DIV/0!</v>
      </c>
    </row>
    <row r="58" spans="2:10">
      <c r="B58" s="13">
        <v>8</v>
      </c>
      <c r="C58" s="162">
        <f t="shared" si="11"/>
        <v>0</v>
      </c>
      <c r="D58" s="162">
        <f t="shared" si="11"/>
        <v>0</v>
      </c>
      <c r="E58" s="170">
        <f t="shared" si="11"/>
        <v>0</v>
      </c>
      <c r="F58" s="170">
        <f t="shared" si="11"/>
        <v>0</v>
      </c>
      <c r="G58" s="170">
        <f t="shared" si="11"/>
        <v>0</v>
      </c>
      <c r="H58" s="170" t="e">
        <f t="shared" si="11"/>
        <v>#DIV/0!</v>
      </c>
      <c r="I58" s="170">
        <f t="shared" si="11"/>
        <v>0</v>
      </c>
      <c r="J58" s="170" t="e">
        <f t="shared" si="11"/>
        <v>#DIV/0!</v>
      </c>
    </row>
    <row r="59" spans="2:10">
      <c r="B59" s="115" t="s">
        <v>213</v>
      </c>
      <c r="C59" s="164"/>
      <c r="D59" s="164"/>
      <c r="E59" s="165" t="e">
        <f>SUM(E43:E58)</f>
        <v>#DIV/0!</v>
      </c>
      <c r="F59" s="172"/>
      <c r="G59" s="165" t="e">
        <f>SUM(G43:G58)</f>
        <v>#DIV/0!</v>
      </c>
      <c r="H59" s="165" t="e">
        <f>G59/E59</f>
        <v>#DIV/0!</v>
      </c>
      <c r="I59" s="177"/>
      <c r="J59" s="171" t="e">
        <f>SUM(J43:J58)</f>
        <v>#DIV/0!</v>
      </c>
    </row>
    <row r="60" spans="2:10">
      <c r="B60" s="2"/>
      <c r="C60" s="2"/>
      <c r="D60" s="2"/>
    </row>
    <row r="61" spans="2:10">
      <c r="B61" s="2"/>
      <c r="C61" s="2"/>
      <c r="D61" s="2"/>
    </row>
  </sheetData>
  <mergeCells count="2">
    <mergeCell ref="B51:B52"/>
    <mergeCell ref="B53:B5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C3" sqref="C3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7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83" t="e">
        <f>MIN(D5,D5*(données!$J$30-'résistance_section (2)'!$H$31)/'résistance_section (2)'!$H$31)</f>
        <v>#DIV/0!</v>
      </c>
      <c r="K5" s="11">
        <v>1</v>
      </c>
      <c r="L5" s="11" t="e">
        <f>I5*SQRT(J5/D5/K5)</f>
        <v>#DIV/0!</v>
      </c>
      <c r="M5" s="11" t="e">
        <f>IF(L5&gt;0.673,(L5-0.055*(3+G5))/L5^2,1)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32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32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32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2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83" t="e">
        <f>MIN(D10,D10*(données!$J$30-'résistance_section (2)'!$H$31)/'résistance_section (2)'!$H$31)</f>
        <v>#DIV/0!</v>
      </c>
      <c r="K10" s="11">
        <v>1</v>
      </c>
      <c r="L10" s="11" t="e">
        <f>I10*SQRT(J10/D10/K10)</f>
        <v>#DIV/0!</v>
      </c>
      <c r="M10" s="11" t="e">
        <f>IF(L10&gt;0.673,(L10-0.055*(3+G10))/L10^2,1)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workbookViewId="0">
      <selection activeCell="C3" sqref="C3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8.6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'largeur_eff_semelle (3)'!B5</f>
        <v>0</v>
      </c>
      <c r="E3" s="7">
        <f>'largeur_eff_semelle (3)'!B10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MIN(15*F$3-données!I$19,0.5*E$3)-données!I19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8"/>
      <c r="D14" s="18"/>
      <c r="E14" s="18"/>
      <c r="F14" s="18"/>
      <c r="G14" s="18"/>
      <c r="H14" s="19"/>
      <c r="I14" s="19"/>
      <c r="J14" s="19"/>
      <c r="K14" s="8"/>
      <c r="L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'largeur_eff_semelle (3)'!O10-données!I19</f>
        <v>#DIV/0!</v>
      </c>
      <c r="D16" s="14" t="e">
        <f>C16*$F$3</f>
        <v>#DIV/0!</v>
      </c>
      <c r="E16" s="14"/>
      <c r="F16" s="14"/>
      <c r="G16" s="15"/>
      <c r="H16" s="15"/>
      <c r="I16" s="76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4" t="e">
        <f>'largeur_eff_semelle (3)'!O5-données!I19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8"/>
      <c r="D24" s="18"/>
      <c r="E24" s="18"/>
      <c r="F24" s="18"/>
      <c r="G24" s="18"/>
      <c r="H24" s="19"/>
      <c r="I24" s="19"/>
      <c r="J24" s="19"/>
      <c r="K24" s="8"/>
      <c r="L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7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7">
      <c r="B33" s="6">
        <f>données!G3</f>
        <v>0</v>
      </c>
      <c r="C33" s="11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7" ht="17">
      <c r="B35" s="7" t="s">
        <v>11</v>
      </c>
      <c r="C35" s="13" t="s">
        <v>58</v>
      </c>
      <c r="E35" t="s">
        <v>134</v>
      </c>
    </row>
    <row r="36" spans="2:7">
      <c r="B36" s="78" t="e">
        <f>E33</f>
        <v>#DIV/0!</v>
      </c>
      <c r="C36" s="105" t="e">
        <f>B36*données!E3*B33/largeur_eff_semelle!K5/'largeur_eff_semelle (3)'!J5</f>
        <v>#DIV/0!</v>
      </c>
      <c r="E36" t="e">
        <f>B33/'largeur_eff_semelle (3)'!K5/'largeur_eff_semelle (3)'!J5</f>
        <v>#DIV/0!</v>
      </c>
      <c r="G36" t="e">
        <f>B36*E36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C3" sqref="C3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138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83" t="e">
        <f>'largeur_eff_semelle (3)'!J5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32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32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32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2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83" t="e">
        <f>'raidisseur (3)'!B36*D10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workbookViewId="0">
      <selection activeCell="C3" sqref="C3"/>
    </sheetView>
  </sheetViews>
  <sheetFormatPr baseColWidth="10" defaultRowHeight="14" x14ac:dyDescent="0"/>
  <cols>
    <col min="2" max="2" width="11.5" bestFit="1" customWidth="1"/>
    <col min="3" max="3" width="7.83203125" bestFit="1" customWidth="1"/>
    <col min="4" max="4" width="8.33203125" bestFit="1" customWidth="1"/>
    <col min="5" max="5" width="8.6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'largeur_eff_semelle bis (3)'!B5</f>
        <v>0</v>
      </c>
      <c r="E3" s="7">
        <f>'largeur_eff_semelle bis (3)'!B10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MIN(15*F$3-données!I$19,0.5*E$3)-données!I19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7"/>
      <c r="D14" s="17"/>
      <c r="E14" s="17"/>
      <c r="F14" s="17"/>
      <c r="G14" s="17"/>
      <c r="H14" s="17"/>
      <c r="I14" s="106"/>
      <c r="J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'largeur_eff_semelle bis (3)'!O10-données!I19</f>
        <v>#DIV/0!</v>
      </c>
      <c r="D16" s="14" t="e">
        <f>C16*$F$3</f>
        <v>#DIV/0!</v>
      </c>
      <c r="E16" s="14"/>
      <c r="F16" s="14"/>
      <c r="G16" s="15"/>
      <c r="H16" s="15"/>
      <c r="I16" s="76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4" t="e">
        <f>'largeur_eff_semelle bis (3)'!O5-données!I19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7"/>
      <c r="D24" s="17"/>
      <c r="E24" s="17"/>
      <c r="F24" s="17"/>
      <c r="G24" s="17"/>
      <c r="H24" s="17"/>
      <c r="I24" s="106"/>
      <c r="J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7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7">
      <c r="B33" s="6">
        <f>données!G3</f>
        <v>0</v>
      </c>
      <c r="C33" s="11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7" ht="17">
      <c r="B35" s="7" t="s">
        <v>11</v>
      </c>
      <c r="C35" s="13" t="s">
        <v>58</v>
      </c>
      <c r="E35" t="s">
        <v>134</v>
      </c>
    </row>
    <row r="36" spans="2:7">
      <c r="B36" s="78" t="e">
        <f>E33</f>
        <v>#DIV/0!</v>
      </c>
      <c r="C36" s="105" t="e">
        <f>B36*données!E3*B33/largeur_eff_semelle!K5/'largeur_eff_semelle (3)'!J5</f>
        <v>#DIV/0!</v>
      </c>
      <c r="E36" t="e">
        <f>B33/'largeur_eff_semelle (3)'!K5/'largeur_eff_semelle (3)'!J5</f>
        <v>#DIV/0!</v>
      </c>
      <c r="G36" t="e">
        <f>B36*E36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C3" sqref="C3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21</v>
      </c>
      <c r="E2" s="44" t="s">
        <v>70</v>
      </c>
      <c r="F2" s="43" t="s">
        <v>69</v>
      </c>
      <c r="G2" s="2" t="s">
        <v>74</v>
      </c>
      <c r="H2" s="2" t="s">
        <v>36</v>
      </c>
      <c r="I2" s="8"/>
    </row>
    <row r="3" spans="2:9">
      <c r="B3" s="2">
        <f>données!E3</f>
        <v>0</v>
      </c>
      <c r="C3" s="7">
        <f>données!H3</f>
        <v>0</v>
      </c>
      <c r="D3" s="47">
        <f>données!G3</f>
        <v>0</v>
      </c>
      <c r="E3" s="11">
        <v>1</v>
      </c>
      <c r="F3" s="11" t="e">
        <f>D3*(données!$J$30-'résistance_section (2)'!H31)/'résistance_section (2)'!H31</f>
        <v>#DIV/0!</v>
      </c>
      <c r="G3" s="7" t="e">
        <f>données!N3-'résistance_section (2)'!H31</f>
        <v>#DIV/0!</v>
      </c>
      <c r="H3" s="2" t="e">
        <f>G3/SIN(données!B3)-données!C18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34</v>
      </c>
      <c r="C5" s="2" t="s">
        <v>35</v>
      </c>
      <c r="D5" s="2" t="s">
        <v>132</v>
      </c>
      <c r="E5" s="8" t="s">
        <v>216</v>
      </c>
      <c r="F5" s="8"/>
      <c r="G5" s="8"/>
      <c r="H5" s="8"/>
    </row>
    <row r="6" spans="2:9">
      <c r="B6" s="76" t="e">
        <f>0.95*B3*(C3/F3/E3)^0.5</f>
        <v>#DIV/0!</v>
      </c>
      <c r="C6" s="76" t="e">
        <f>B6</f>
        <v>#DIV/0!</v>
      </c>
      <c r="D6" s="7" t="e">
        <f>1.5*C6</f>
        <v>#DIV/0!</v>
      </c>
      <c r="E6" s="8">
        <v>43.878059864633357</v>
      </c>
      <c r="F6" s="8"/>
      <c r="G6" s="79" t="s">
        <v>117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80" t="s">
        <v>8</v>
      </c>
      <c r="C8" s="81"/>
      <c r="D8" s="81"/>
      <c r="E8" s="81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zoomScale="120" zoomScaleNormal="120" zoomScalePageLayoutView="120" workbookViewId="0">
      <selection activeCell="F27" sqref="F27"/>
    </sheetView>
  </sheetViews>
  <sheetFormatPr baseColWidth="10" defaultRowHeight="14" x14ac:dyDescent="0"/>
  <cols>
    <col min="2" max="2" width="12.6640625" customWidth="1"/>
    <col min="3" max="3" width="15.5" bestFit="1" customWidth="1"/>
    <col min="10" max="10" width="10.5" customWidth="1"/>
  </cols>
  <sheetData>
    <row r="2" spans="1:18" ht="17">
      <c r="A2" s="2" t="s">
        <v>82</v>
      </c>
      <c r="B2" s="2" t="s">
        <v>118</v>
      </c>
      <c r="C2" s="2" t="s">
        <v>20</v>
      </c>
      <c r="D2" s="2" t="s">
        <v>110</v>
      </c>
      <c r="E2" s="2" t="s">
        <v>0</v>
      </c>
      <c r="F2" s="2" t="s">
        <v>180</v>
      </c>
      <c r="G2" s="2" t="s">
        <v>21</v>
      </c>
      <c r="H2" s="2" t="s">
        <v>2</v>
      </c>
      <c r="I2" s="10" t="s">
        <v>150</v>
      </c>
      <c r="J2" s="10" t="s">
        <v>151</v>
      </c>
      <c r="K2" s="10" t="s">
        <v>152</v>
      </c>
      <c r="L2" s="10" t="s">
        <v>153</v>
      </c>
      <c r="M2" s="10" t="s">
        <v>77</v>
      </c>
      <c r="N2" s="10" t="s">
        <v>96</v>
      </c>
      <c r="O2" s="10" t="str">
        <f>data!J13</f>
        <v>ds (mm)</v>
      </c>
      <c r="P2" s="10" t="str">
        <f>data!L13</f>
        <v>di (mm)</v>
      </c>
      <c r="Q2" s="10" t="s">
        <v>59</v>
      </c>
      <c r="R2" s="1" t="s">
        <v>135</v>
      </c>
    </row>
    <row r="3" spans="1:18">
      <c r="A3" s="8">
        <f>B3/PI()*180</f>
        <v>0</v>
      </c>
      <c r="B3" s="7">
        <f>data!E14</f>
        <v>0</v>
      </c>
      <c r="C3" s="48">
        <f>data!W14</f>
        <v>0.78539816339744828</v>
      </c>
      <c r="D3" s="7">
        <f>data!B14</f>
        <v>0</v>
      </c>
      <c r="E3" s="84">
        <f>data!G14</f>
        <v>0</v>
      </c>
      <c r="F3" s="2">
        <f>data!F14</f>
        <v>0</v>
      </c>
      <c r="G3" s="6">
        <f>data!M14</f>
        <v>0</v>
      </c>
      <c r="H3" s="7">
        <f>data!N14</f>
        <v>0</v>
      </c>
      <c r="I3" s="10">
        <f>IF(data!A14=0,0,data!A14+data!$F$14/2)</f>
        <v>0</v>
      </c>
      <c r="J3" s="12">
        <f>data!C14</f>
        <v>0</v>
      </c>
      <c r="K3" s="12">
        <f>data!D14</f>
        <v>0</v>
      </c>
      <c r="L3" s="10">
        <v>0</v>
      </c>
      <c r="M3" s="10">
        <f>data!H14</f>
        <v>0</v>
      </c>
      <c r="N3" s="10">
        <f>data!I14</f>
        <v>0</v>
      </c>
      <c r="O3" s="10">
        <f>data!J14</f>
        <v>0</v>
      </c>
      <c r="P3" s="10">
        <f>data!L14</f>
        <v>0</v>
      </c>
      <c r="Q3" s="186" t="e">
        <f>N3/SIN(B3)-2*C18</f>
        <v>#DIV/0!</v>
      </c>
      <c r="R3" s="1" t="str">
        <f>data!P14</f>
        <v/>
      </c>
    </row>
    <row r="4" spans="1:18">
      <c r="B4" s="8"/>
      <c r="C4" s="8"/>
      <c r="D4" s="8">
        <f>COS(D3)</f>
        <v>1</v>
      </c>
      <c r="E4" s="8"/>
      <c r="F4" s="8"/>
      <c r="G4" s="8"/>
      <c r="Q4">
        <f>data!C23-2*données!C18</f>
        <v>0</v>
      </c>
    </row>
    <row r="5" spans="1:18" ht="17">
      <c r="A5" t="s">
        <v>60</v>
      </c>
      <c r="B5" s="2" t="s">
        <v>14</v>
      </c>
      <c r="C5" s="2" t="s">
        <v>56</v>
      </c>
      <c r="D5" s="2" t="s">
        <v>54</v>
      </c>
      <c r="E5" s="2" t="s">
        <v>55</v>
      </c>
      <c r="F5" s="39"/>
      <c r="G5" s="39"/>
      <c r="H5" s="39"/>
      <c r="I5" s="18"/>
      <c r="J5" s="18"/>
      <c r="K5" s="18"/>
      <c r="L5" s="18"/>
      <c r="M5" s="28"/>
      <c r="N5" s="18"/>
    </row>
    <row r="6" spans="1:18">
      <c r="B6" s="2">
        <v>1</v>
      </c>
      <c r="C6" s="7">
        <f>data!C19</f>
        <v>0</v>
      </c>
      <c r="D6" s="7"/>
      <c r="E6" s="7"/>
      <c r="F6" s="8"/>
      <c r="G6" s="106"/>
      <c r="H6" s="106"/>
      <c r="I6" s="122"/>
      <c r="J6" s="122"/>
      <c r="K6" s="122"/>
      <c r="L6" s="123"/>
      <c r="M6" s="124"/>
      <c r="N6" s="125"/>
    </row>
    <row r="7" spans="1:18">
      <c r="B7" s="2">
        <v>2</v>
      </c>
      <c r="C7" s="7">
        <f>data!C20</f>
        <v>0</v>
      </c>
      <c r="D7" s="7">
        <f>O3</f>
        <v>0</v>
      </c>
      <c r="E7" s="7"/>
      <c r="F7" s="8"/>
      <c r="G7" s="106"/>
      <c r="H7" s="106"/>
      <c r="I7" s="122"/>
      <c r="J7" s="122"/>
      <c r="K7" s="122"/>
      <c r="L7" s="123"/>
      <c r="M7" s="123"/>
      <c r="N7" s="125"/>
    </row>
    <row r="8" spans="1:18">
      <c r="B8" s="2">
        <v>3</v>
      </c>
      <c r="C8" s="7">
        <f>data!C21</f>
        <v>0</v>
      </c>
      <c r="D8" s="7">
        <f>O3</f>
        <v>0</v>
      </c>
      <c r="E8" s="7"/>
      <c r="F8" s="8"/>
      <c r="G8" s="106"/>
      <c r="H8" s="106"/>
      <c r="I8" s="122"/>
      <c r="J8" s="122"/>
      <c r="K8" s="122"/>
      <c r="L8" s="123"/>
      <c r="M8" s="123"/>
      <c r="N8" s="125"/>
    </row>
    <row r="9" spans="1:18">
      <c r="B9" s="2">
        <v>4</v>
      </c>
      <c r="C9" s="7">
        <f>data!C22</f>
        <v>0</v>
      </c>
      <c r="D9" s="7"/>
      <c r="E9" s="7"/>
      <c r="F9" s="9"/>
      <c r="G9" s="106"/>
      <c r="H9" s="106"/>
      <c r="I9" s="122"/>
      <c r="J9" s="122"/>
      <c r="K9" s="122"/>
      <c r="L9" s="123"/>
      <c r="M9" s="124"/>
      <c r="N9" s="125"/>
    </row>
    <row r="10" spans="1:18">
      <c r="B10" s="2">
        <v>5</v>
      </c>
      <c r="C10" s="7">
        <f>data!C23</f>
        <v>0</v>
      </c>
      <c r="F10" s="7"/>
      <c r="G10" s="7"/>
      <c r="H10" s="106"/>
      <c r="I10" s="122"/>
      <c r="J10" s="122"/>
      <c r="K10" s="122"/>
      <c r="L10" s="123"/>
      <c r="M10" s="123"/>
      <c r="N10" s="125"/>
    </row>
    <row r="11" spans="1:18">
      <c r="B11" s="2">
        <v>6</v>
      </c>
      <c r="C11" s="7">
        <f>data!C24</f>
        <v>0</v>
      </c>
      <c r="D11" s="7"/>
      <c r="E11" s="7"/>
      <c r="F11" s="9"/>
      <c r="G11" s="106"/>
      <c r="H11" s="106"/>
      <c r="I11" s="122"/>
      <c r="J11" s="122"/>
      <c r="K11" s="122"/>
      <c r="L11" s="123"/>
      <c r="M11" s="123"/>
      <c r="N11" s="125"/>
    </row>
    <row r="12" spans="1:18">
      <c r="B12" s="2">
        <v>7</v>
      </c>
      <c r="C12" s="7">
        <f>data!C25</f>
        <v>0</v>
      </c>
      <c r="D12" s="7"/>
      <c r="E12" s="7"/>
      <c r="F12" s="9"/>
      <c r="G12" s="106"/>
      <c r="H12" s="106"/>
      <c r="I12" s="122"/>
      <c r="J12" s="122"/>
      <c r="K12" s="122"/>
      <c r="L12" s="123"/>
      <c r="M12" s="123"/>
      <c r="N12" s="125"/>
    </row>
    <row r="13" spans="1:18">
      <c r="B13" s="2">
        <v>8</v>
      </c>
      <c r="C13" s="7">
        <f>data!C26</f>
        <v>0</v>
      </c>
      <c r="D13" s="7"/>
      <c r="E13" s="7"/>
      <c r="F13" s="9"/>
      <c r="G13" s="106"/>
      <c r="H13" s="34"/>
      <c r="I13" s="122"/>
      <c r="J13" s="122"/>
      <c r="K13" s="122"/>
      <c r="L13" s="122"/>
      <c r="M13" s="126"/>
      <c r="N13" s="106"/>
    </row>
    <row r="14" spans="1:18">
      <c r="B14" s="2">
        <v>9</v>
      </c>
      <c r="C14" s="7"/>
      <c r="D14" s="7"/>
      <c r="E14" s="7"/>
      <c r="F14" s="9"/>
      <c r="G14" s="19"/>
      <c r="H14" s="34"/>
      <c r="I14" s="122"/>
      <c r="J14" s="122"/>
      <c r="K14" s="122"/>
      <c r="L14" s="122"/>
      <c r="M14" s="122"/>
      <c r="N14" s="106"/>
    </row>
    <row r="15" spans="1:18">
      <c r="B15" s="8"/>
      <c r="C15" s="8"/>
      <c r="D15" s="9"/>
      <c r="E15" s="9"/>
      <c r="F15" s="8"/>
      <c r="G15" s="8"/>
      <c r="I15" s="5"/>
      <c r="K15" s="5"/>
      <c r="L15" s="5"/>
      <c r="N15" s="5"/>
    </row>
    <row r="16" spans="1:18">
      <c r="B16" s="8"/>
      <c r="C16" s="8"/>
      <c r="D16" s="9"/>
      <c r="E16" s="9"/>
      <c r="F16" s="8"/>
      <c r="G16" s="8"/>
      <c r="I16" s="5"/>
      <c r="K16" s="5"/>
      <c r="L16" s="5"/>
      <c r="N16" s="5"/>
    </row>
    <row r="17" spans="2:14">
      <c r="B17" s="50" t="s">
        <v>118</v>
      </c>
      <c r="C17" s="8">
        <f>B3</f>
        <v>0</v>
      </c>
      <c r="D17" s="9"/>
      <c r="E17" s="188" t="s">
        <v>111</v>
      </c>
      <c r="F17" s="189">
        <f>C3</f>
        <v>0.78539816339744828</v>
      </c>
      <c r="G17" s="8"/>
      <c r="H17" s="50" t="s">
        <v>110</v>
      </c>
      <c r="I17" s="8">
        <f>D3</f>
        <v>0</v>
      </c>
      <c r="K17" s="50" t="s">
        <v>159</v>
      </c>
      <c r="L17" s="8">
        <f>2*D3</f>
        <v>0</v>
      </c>
    </row>
    <row r="18" spans="2:14" s="185" customFormat="1">
      <c r="B18" s="182" t="s">
        <v>182</v>
      </c>
      <c r="C18" s="183">
        <f>J3*(TAN(C17/2)-SIN(C17/2))</f>
        <v>0</v>
      </c>
      <c r="D18" s="184"/>
      <c r="E18" s="190" t="s">
        <v>226</v>
      </c>
      <c r="F18" s="191">
        <f>L3*(TAN(F17/2)-SIN(F17/2))</f>
        <v>0</v>
      </c>
      <c r="G18" s="184"/>
      <c r="H18" s="182" t="s">
        <v>183</v>
      </c>
      <c r="I18" s="183">
        <f>data!A14*(TAN(I17/2)-SIN(I17/2))</f>
        <v>0</v>
      </c>
      <c r="K18" s="182" t="s">
        <v>184</v>
      </c>
      <c r="L18" s="183">
        <f>$I$3*(TAN(L17/2)-SIN(L17/2))</f>
        <v>0</v>
      </c>
    </row>
    <row r="19" spans="2:14">
      <c r="B19" s="35" t="s">
        <v>158</v>
      </c>
      <c r="C19" s="38">
        <f>J3*SIN(C17/2)</f>
        <v>0</v>
      </c>
      <c r="D19" s="8"/>
      <c r="E19" s="192" t="s">
        <v>64</v>
      </c>
      <c r="F19" s="193">
        <f>L3*SIN(F17/2)</f>
        <v>0</v>
      </c>
      <c r="G19" s="8"/>
      <c r="H19" s="35" t="s">
        <v>61</v>
      </c>
      <c r="I19" s="38">
        <f>data!A14*SIN(I17/2)</f>
        <v>0</v>
      </c>
      <c r="K19" s="35" t="s">
        <v>160</v>
      </c>
      <c r="L19" s="38">
        <f>$I$3*SIN(L17/2)</f>
        <v>0</v>
      </c>
    </row>
    <row r="20" spans="2:14" s="118" customFormat="1">
      <c r="B20" s="116"/>
      <c r="C20" s="117"/>
      <c r="D20" s="32"/>
      <c r="E20" s="116"/>
      <c r="F20" s="117"/>
      <c r="G20" s="32"/>
      <c r="H20" s="116"/>
      <c r="I20" s="117"/>
      <c r="K20" s="116"/>
      <c r="L20" s="117"/>
    </row>
    <row r="21" spans="2:14" s="118" customFormat="1">
      <c r="B21" s="34" t="s">
        <v>154</v>
      </c>
      <c r="C21" s="37">
        <f>$K$3*(TAN(C$17/2)-SIN(C17/2))</f>
        <v>0</v>
      </c>
      <c r="D21" s="32"/>
      <c r="E21" s="116"/>
      <c r="F21" s="194"/>
      <c r="G21" s="32"/>
      <c r="H21" s="116"/>
      <c r="I21" s="117"/>
      <c r="K21" s="116"/>
      <c r="L21" s="117"/>
    </row>
    <row r="22" spans="2:14" s="118" customFormat="1">
      <c r="B22" s="35" t="s">
        <v>155</v>
      </c>
      <c r="C22" s="38">
        <f>$K$3*SIN(C$17/2)</f>
        <v>0</v>
      </c>
      <c r="D22" s="32"/>
      <c r="E22" s="116"/>
      <c r="F22" s="194"/>
      <c r="G22" s="32"/>
      <c r="H22" s="116"/>
      <c r="I22" s="117"/>
      <c r="K22" s="116"/>
      <c r="L22" s="117"/>
    </row>
    <row r="23" spans="2:14" s="118" customFormat="1">
      <c r="B23" s="36" t="s">
        <v>156</v>
      </c>
      <c r="C23" s="38">
        <f>$K$3*C$17</f>
        <v>0</v>
      </c>
      <c r="D23" s="32"/>
      <c r="E23" s="116"/>
      <c r="F23" s="194"/>
      <c r="G23" s="32"/>
      <c r="H23" s="116"/>
      <c r="I23" s="119"/>
      <c r="K23" s="116"/>
      <c r="L23" s="119"/>
    </row>
    <row r="24" spans="2:14" s="118" customFormat="1">
      <c r="B24" s="36" t="s">
        <v>157</v>
      </c>
      <c r="C24" s="38" t="e">
        <f>$K$3*(1-SIN(C$17)/C$17)</f>
        <v>#DIV/0!</v>
      </c>
      <c r="D24" s="32"/>
      <c r="E24" s="116"/>
      <c r="F24" s="194"/>
      <c r="G24" s="32"/>
      <c r="H24" s="116"/>
      <c r="I24" s="120"/>
      <c r="K24" s="116"/>
      <c r="L24" s="120"/>
    </row>
    <row r="25" spans="2:14" s="118" customFormat="1">
      <c r="B25" s="121"/>
      <c r="C25" s="119"/>
      <c r="D25" s="32"/>
      <c r="E25" s="121"/>
      <c r="F25" s="119"/>
      <c r="G25" s="32"/>
      <c r="H25" s="121"/>
      <c r="I25" s="119"/>
      <c r="K25" s="121"/>
      <c r="L25" s="119"/>
    </row>
    <row r="26" spans="2:14">
      <c r="B26" s="36" t="s">
        <v>119</v>
      </c>
      <c r="C26" s="38">
        <f>$J$3*C17</f>
        <v>0</v>
      </c>
      <c r="D26" s="8"/>
      <c r="E26" s="195" t="s">
        <v>65</v>
      </c>
      <c r="F26" s="193">
        <f>$L$3*F17</f>
        <v>0</v>
      </c>
      <c r="G26" s="8"/>
      <c r="H26" s="36" t="s">
        <v>62</v>
      </c>
      <c r="I26" s="38">
        <f>$I$3*I17</f>
        <v>0</v>
      </c>
      <c r="K26" s="36" t="s">
        <v>161</v>
      </c>
      <c r="L26" s="38">
        <f>$I$3*L17</f>
        <v>0</v>
      </c>
    </row>
    <row r="27" spans="2:14">
      <c r="B27" s="36" t="s">
        <v>120</v>
      </c>
      <c r="C27" s="38" t="e">
        <f>$J$3*(1-SIN(C17)/C17)</f>
        <v>#DIV/0!</v>
      </c>
      <c r="D27" s="8"/>
      <c r="E27" s="195" t="s">
        <v>66</v>
      </c>
      <c r="F27" s="193">
        <f>$L$3*(1-SIN(F17)/F17)</f>
        <v>0</v>
      </c>
      <c r="G27" s="8"/>
      <c r="H27" s="36" t="s">
        <v>63</v>
      </c>
      <c r="I27" s="38" t="e">
        <f>$I$3*(1-SIN(I17)/I17)</f>
        <v>#DIV/0!</v>
      </c>
      <c r="K27" s="36" t="s">
        <v>162</v>
      </c>
      <c r="L27" s="38" t="e">
        <f>$I$3*(1-SIN(L17)/L17)</f>
        <v>#DIV/0!</v>
      </c>
    </row>
    <row r="28" spans="2:14">
      <c r="B28" s="36"/>
      <c r="C28" s="38"/>
      <c r="D28" s="8"/>
      <c r="E28" s="8"/>
      <c r="F28" s="8"/>
      <c r="G28" s="8"/>
    </row>
    <row r="29" spans="2:14" ht="17">
      <c r="B29" s="2" t="s">
        <v>14</v>
      </c>
      <c r="C29" s="2" t="s">
        <v>56</v>
      </c>
      <c r="D29" s="2" t="s">
        <v>54</v>
      </c>
      <c r="E29" s="2" t="s">
        <v>55</v>
      </c>
      <c r="F29" s="39"/>
      <c r="G29" s="39"/>
      <c r="H29" s="2" t="s">
        <v>14</v>
      </c>
      <c r="I29" s="13" t="s">
        <v>49</v>
      </c>
      <c r="J29" s="13" t="s">
        <v>47</v>
      </c>
      <c r="K29" s="13" t="s">
        <v>50</v>
      </c>
      <c r="L29" s="13" t="s">
        <v>48</v>
      </c>
      <c r="M29" s="22" t="s">
        <v>7</v>
      </c>
      <c r="N29" s="13" t="s">
        <v>51</v>
      </c>
    </row>
    <row r="30" spans="2:14">
      <c r="B30" s="2">
        <v>1</v>
      </c>
      <c r="C30" s="68">
        <f>C6-I19</f>
        <v>0</v>
      </c>
      <c r="D30" s="7"/>
      <c r="E30" s="7"/>
      <c r="F30" s="8"/>
      <c r="G30" s="69" t="s">
        <v>109</v>
      </c>
      <c r="H30" s="2">
        <v>1</v>
      </c>
      <c r="I30" s="108">
        <f>C30*$E$3</f>
        <v>0</v>
      </c>
      <c r="J30" s="109">
        <f>N3</f>
        <v>0</v>
      </c>
      <c r="K30" s="3">
        <f>I30*J30</f>
        <v>0</v>
      </c>
      <c r="L30" s="3" t="e">
        <f>L$45-J30</f>
        <v>#DIV/0!</v>
      </c>
      <c r="M30" s="85">
        <f>E3</f>
        <v>0</v>
      </c>
      <c r="N30" s="7" t="e">
        <f>I30*M30^2/12+I30*L30^2</f>
        <v>#DIV/0!</v>
      </c>
    </row>
    <row r="31" spans="2:14">
      <c r="B31" s="2">
        <v>2</v>
      </c>
      <c r="C31" s="7">
        <f>I26</f>
        <v>0</v>
      </c>
      <c r="D31" s="7"/>
      <c r="E31" s="7"/>
      <c r="F31" s="8"/>
      <c r="G31" s="8"/>
      <c r="H31" s="2">
        <v>2</v>
      </c>
      <c r="I31" s="110">
        <f t="shared" ref="I31:I42" si="0">C31*$E$3</f>
        <v>0</v>
      </c>
      <c r="J31" s="109" t="e">
        <f>J30-I27</f>
        <v>#DIV/0!</v>
      </c>
      <c r="K31" s="3" t="e">
        <f t="shared" ref="K31:K42" si="1">I31*J31</f>
        <v>#DIV/0!</v>
      </c>
      <c r="L31" s="3" t="e">
        <f t="shared" ref="L31:L42" si="2">L$45-J31</f>
        <v>#DIV/0!</v>
      </c>
      <c r="M31" s="53"/>
      <c r="N31" s="72" t="e">
        <f>E3*$I$3^3*(($I$17+SIN($I$17)*COS($I$17))/2-SIN($I$17)^2/$I$17)+I31*L31^2</f>
        <v>#DIV/0!</v>
      </c>
    </row>
    <row r="32" spans="2:14">
      <c r="B32" s="2">
        <v>3</v>
      </c>
      <c r="C32" s="68">
        <f>C7-I19</f>
        <v>0</v>
      </c>
      <c r="D32" s="7"/>
      <c r="E32" s="7"/>
      <c r="F32" s="8"/>
      <c r="G32" s="8"/>
      <c r="H32" s="2">
        <v>3</v>
      </c>
      <c r="I32" s="108">
        <f t="shared" si="0"/>
        <v>0</v>
      </c>
      <c r="J32" s="111">
        <f>N3-O3/2</f>
        <v>0</v>
      </c>
      <c r="K32" s="3">
        <f t="shared" si="1"/>
        <v>0</v>
      </c>
      <c r="L32" s="3" t="e">
        <f t="shared" si="2"/>
        <v>#DIV/0!</v>
      </c>
      <c r="M32" s="53">
        <f>C32*SIN(D3)</f>
        <v>0</v>
      </c>
      <c r="N32" s="7" t="e">
        <f>I32*M32^2/12+I32*L32^2</f>
        <v>#DIV/0!</v>
      </c>
    </row>
    <row r="33" spans="2:16">
      <c r="B33" s="2">
        <v>4</v>
      </c>
      <c r="C33" s="7">
        <f>+L26</f>
        <v>0</v>
      </c>
      <c r="D33" s="7"/>
      <c r="E33" s="7"/>
      <c r="F33" s="9"/>
      <c r="G33" s="9"/>
      <c r="H33" s="2">
        <v>4</v>
      </c>
      <c r="I33" s="110">
        <f t="shared" si="0"/>
        <v>0</v>
      </c>
      <c r="J33" s="109" t="e">
        <f>N3-O3+L27</f>
        <v>#DIV/0!</v>
      </c>
      <c r="K33" s="3" t="e">
        <f t="shared" si="1"/>
        <v>#DIV/0!</v>
      </c>
      <c r="L33" s="3" t="e">
        <f t="shared" si="2"/>
        <v>#DIV/0!</v>
      </c>
      <c r="M33" s="53"/>
      <c r="N33" s="72" t="e">
        <f>E3*($I$3^3*(($L$17+SIN($L$17)*COS($L$17))/2-SIN($L$17)^2/$L$17))+I33*L33^2</f>
        <v>#DIV/0!</v>
      </c>
    </row>
    <row r="34" spans="2:16">
      <c r="B34" s="2">
        <v>5</v>
      </c>
      <c r="C34" s="68">
        <f>C7-I18-I19</f>
        <v>0</v>
      </c>
      <c r="D34" s="7"/>
      <c r="E34" s="7"/>
      <c r="F34" s="9"/>
      <c r="G34" s="9"/>
      <c r="H34" s="2">
        <v>5</v>
      </c>
      <c r="I34" s="108">
        <f t="shared" si="0"/>
        <v>0</v>
      </c>
      <c r="J34" s="111">
        <f>$N$3-O3/2</f>
        <v>0</v>
      </c>
      <c r="K34" s="3">
        <f t="shared" si="1"/>
        <v>0</v>
      </c>
      <c r="L34" s="3" t="e">
        <f t="shared" si="2"/>
        <v>#DIV/0!</v>
      </c>
      <c r="M34" s="53">
        <f>C34*SIN(D3)</f>
        <v>0</v>
      </c>
      <c r="N34" s="7" t="e">
        <f t="shared" ref="N34:N38" si="3">I34*M34^2/12+I34*L34^2</f>
        <v>#DIV/0!</v>
      </c>
    </row>
    <row r="35" spans="2:16">
      <c r="B35" s="2">
        <v>6</v>
      </c>
      <c r="C35" s="5">
        <f>L26</f>
        <v>0</v>
      </c>
      <c r="D35" s="7"/>
      <c r="E35" s="7"/>
      <c r="F35" s="9"/>
      <c r="G35" s="9"/>
      <c r="H35" s="2">
        <v>6</v>
      </c>
      <c r="I35" s="110">
        <f t="shared" si="0"/>
        <v>0</v>
      </c>
      <c r="J35" s="112" t="e">
        <f>N3-I27</f>
        <v>#DIV/0!</v>
      </c>
      <c r="K35" s="3" t="e">
        <f t="shared" si="1"/>
        <v>#DIV/0!</v>
      </c>
      <c r="L35" s="3" t="e">
        <f t="shared" si="2"/>
        <v>#DIV/0!</v>
      </c>
      <c r="M35" s="53"/>
      <c r="N35" s="72" t="e">
        <f>E3*$I$3^3*(($I$17+SIN($I$17)*COS($I$17))/2-SIN($I$17)^2/$I$17)+I35*L35^2</f>
        <v>#DIV/0!</v>
      </c>
    </row>
    <row r="36" spans="2:16">
      <c r="B36" s="2">
        <v>7</v>
      </c>
      <c r="C36" s="68">
        <f>C9-C19-I19</f>
        <v>0</v>
      </c>
      <c r="D36" s="7"/>
      <c r="E36" s="7"/>
      <c r="F36" s="9"/>
      <c r="G36" s="9"/>
      <c r="H36" s="2">
        <v>7</v>
      </c>
      <c r="I36" s="108">
        <f t="shared" si="0"/>
        <v>0</v>
      </c>
      <c r="J36" s="112">
        <f>N3</f>
        <v>0</v>
      </c>
      <c r="K36" s="3">
        <f t="shared" si="1"/>
        <v>0</v>
      </c>
      <c r="L36" s="3" t="e">
        <f t="shared" si="2"/>
        <v>#DIV/0!</v>
      </c>
      <c r="M36" s="85">
        <f>E3</f>
        <v>0</v>
      </c>
      <c r="N36" s="7" t="e">
        <f>I36*M36^2/12+I36*L36^2</f>
        <v>#DIV/0!</v>
      </c>
    </row>
    <row r="37" spans="2:16">
      <c r="B37" s="2">
        <v>8</v>
      </c>
      <c r="C37" s="7">
        <f>C26</f>
        <v>0</v>
      </c>
      <c r="D37" s="7"/>
      <c r="E37" s="7"/>
      <c r="F37" s="9"/>
      <c r="G37" s="9"/>
      <c r="H37" s="2">
        <v>8</v>
      </c>
      <c r="I37" s="110">
        <f t="shared" si="0"/>
        <v>0</v>
      </c>
      <c r="J37" s="112" t="e">
        <f>N3-C27</f>
        <v>#DIV/0!</v>
      </c>
      <c r="K37" s="3" t="e">
        <f t="shared" si="1"/>
        <v>#DIV/0!</v>
      </c>
      <c r="L37" s="3" t="e">
        <f t="shared" si="2"/>
        <v>#DIV/0!</v>
      </c>
      <c r="M37" s="53"/>
      <c r="N37" s="72" t="e">
        <f>E3*$J$3^3*(($C$17+SIN($C$17)*COS($C$17))/2-SIN($C$17)^2/$C$17)+I37*L37^2</f>
        <v>#DIV/0!</v>
      </c>
    </row>
    <row r="38" spans="2:16">
      <c r="B38" s="2">
        <v>9</v>
      </c>
      <c r="C38" s="68">
        <f>C10-C19-C22</f>
        <v>0</v>
      </c>
      <c r="D38" s="7"/>
      <c r="E38" s="7"/>
      <c r="F38" s="9"/>
      <c r="G38" s="9"/>
      <c r="H38" s="2">
        <v>9</v>
      </c>
      <c r="I38" s="108">
        <f t="shared" si="0"/>
        <v>0</v>
      </c>
      <c r="J38" s="112">
        <f>N3-(C18+C19+C38/2)*SIN(B3)</f>
        <v>0</v>
      </c>
      <c r="K38" s="3">
        <f t="shared" si="1"/>
        <v>0</v>
      </c>
      <c r="L38" s="3" t="e">
        <f t="shared" si="2"/>
        <v>#DIV/0!</v>
      </c>
      <c r="M38" s="53">
        <f>C38*SIN(B3)</f>
        <v>0</v>
      </c>
      <c r="N38" s="7" t="e">
        <f t="shared" si="3"/>
        <v>#DIV/0!</v>
      </c>
    </row>
    <row r="39" spans="2:16">
      <c r="B39" s="2">
        <v>10</v>
      </c>
      <c r="C39" s="7">
        <f>C23</f>
        <v>0</v>
      </c>
      <c r="D39" s="7"/>
      <c r="E39" s="7"/>
      <c r="F39" s="9"/>
      <c r="G39" s="9"/>
      <c r="H39" s="2">
        <v>10</v>
      </c>
      <c r="I39" s="110">
        <f t="shared" si="0"/>
        <v>0</v>
      </c>
      <c r="J39" s="113" t="e">
        <f>C27</f>
        <v>#DIV/0!</v>
      </c>
      <c r="K39" s="3" t="e">
        <f t="shared" si="1"/>
        <v>#DIV/0!</v>
      </c>
      <c r="L39" s="3" t="e">
        <f t="shared" si="2"/>
        <v>#DIV/0!</v>
      </c>
      <c r="M39" s="53"/>
      <c r="N39" s="72" t="e">
        <f>E3*$K$3^3*(($C$17+SIN($C$17)*COS($C$17))/2-SIN($C$17)^2/$C$17)+I39*L39^2</f>
        <v>#DIV/0!</v>
      </c>
    </row>
    <row r="40" spans="2:16">
      <c r="B40" s="2">
        <v>11</v>
      </c>
      <c r="C40" s="76">
        <f>C11-C21-C22</f>
        <v>0</v>
      </c>
      <c r="D40" s="7"/>
      <c r="E40" s="7"/>
      <c r="F40" s="9"/>
      <c r="G40" s="9"/>
      <c r="H40" s="2">
        <v>11</v>
      </c>
      <c r="I40" s="108">
        <f t="shared" si="0"/>
        <v>0</v>
      </c>
      <c r="J40" s="112">
        <f>0</f>
        <v>0</v>
      </c>
      <c r="K40" s="3">
        <f t="shared" si="1"/>
        <v>0</v>
      </c>
      <c r="L40" s="3" t="e">
        <f t="shared" si="2"/>
        <v>#DIV/0!</v>
      </c>
      <c r="M40" s="53">
        <f>E3</f>
        <v>0</v>
      </c>
      <c r="N40" s="72" t="e">
        <f>I40*M40^2/12+I40*L40^2</f>
        <v>#DIV/0!</v>
      </c>
    </row>
    <row r="41" spans="2:16">
      <c r="B41" s="2">
        <v>12</v>
      </c>
      <c r="C41" s="7">
        <f>C12</f>
        <v>0</v>
      </c>
      <c r="D41" s="7"/>
      <c r="E41" s="7"/>
      <c r="F41" s="9"/>
      <c r="G41" s="9"/>
      <c r="H41" s="2">
        <v>12</v>
      </c>
      <c r="I41" s="108">
        <f t="shared" si="0"/>
        <v>0</v>
      </c>
      <c r="J41" s="113">
        <f>P3/2</f>
        <v>0</v>
      </c>
      <c r="K41" s="3">
        <f t="shared" si="1"/>
        <v>0</v>
      </c>
      <c r="L41" s="3" t="e">
        <f t="shared" si="2"/>
        <v>#DIV/0!</v>
      </c>
      <c r="M41" s="53">
        <f>P3</f>
        <v>0</v>
      </c>
      <c r="N41" s="72" t="e">
        <f t="shared" ref="N41:N42" si="4">I41*M41^2/12+I41*L41^2</f>
        <v>#DIV/0!</v>
      </c>
      <c r="P41" t="e">
        <f>K41*O41^2/12+K41*N41^2</f>
        <v>#DIV/0!</v>
      </c>
    </row>
    <row r="42" spans="2:16">
      <c r="B42" s="2">
        <v>13</v>
      </c>
      <c r="C42" s="12">
        <f>C13</f>
        <v>0</v>
      </c>
      <c r="D42" s="7"/>
      <c r="E42" s="7"/>
      <c r="F42" s="9"/>
      <c r="G42" s="9"/>
      <c r="H42" s="2">
        <v>13</v>
      </c>
      <c r="I42" s="108">
        <f t="shared" si="0"/>
        <v>0</v>
      </c>
      <c r="J42" s="112">
        <f>P3</f>
        <v>0</v>
      </c>
      <c r="K42" s="3">
        <f t="shared" si="1"/>
        <v>0</v>
      </c>
      <c r="L42" s="3" t="e">
        <f t="shared" si="2"/>
        <v>#DIV/0!</v>
      </c>
      <c r="M42" s="53">
        <f>E3</f>
        <v>0</v>
      </c>
      <c r="N42" s="72" t="e">
        <f t="shared" si="4"/>
        <v>#DIV/0!</v>
      </c>
    </row>
    <row r="43" spans="2:16">
      <c r="B43" s="2"/>
      <c r="C43" s="68"/>
      <c r="D43" s="7"/>
      <c r="E43" s="7"/>
      <c r="F43" s="9"/>
      <c r="G43" s="9"/>
      <c r="H43" s="2"/>
      <c r="I43" s="70"/>
      <c r="J43" s="71"/>
      <c r="K43" s="3"/>
      <c r="L43" s="3"/>
      <c r="M43" s="53"/>
      <c r="N43" s="72"/>
    </row>
    <row r="44" spans="2:16">
      <c r="B44" s="2"/>
      <c r="C44" s="68"/>
      <c r="D44" s="7"/>
      <c r="E44" s="7"/>
      <c r="F44" s="9"/>
      <c r="G44" s="8"/>
      <c r="H44" s="2"/>
      <c r="I44" s="70"/>
      <c r="J44" s="71"/>
      <c r="K44" s="3"/>
      <c r="L44" s="3"/>
      <c r="M44" s="85"/>
      <c r="N44" s="7"/>
    </row>
    <row r="45" spans="2:16">
      <c r="B45" s="8"/>
      <c r="C45" s="5">
        <f>SUM(C30:C44)</f>
        <v>0</v>
      </c>
      <c r="D45" s="9">
        <f>D35+D36+D37</f>
        <v>0</v>
      </c>
      <c r="E45" s="9">
        <f>E30+E31+E32+E33+E35+E36+E37+E39+E44</f>
        <v>0</v>
      </c>
      <c r="F45" s="8"/>
      <c r="G45" s="8"/>
      <c r="I45" s="5">
        <f>SUM(I30:I44)</f>
        <v>0</v>
      </c>
      <c r="K45" s="5" t="e">
        <f>SUM(K30:K44)</f>
        <v>#DIV/0!</v>
      </c>
      <c r="L45" s="74" t="e">
        <f>K45/I45</f>
        <v>#DIV/0!</v>
      </c>
      <c r="N45" s="5" t="e">
        <f>SUM(N30:N44)</f>
        <v>#DIV/0!</v>
      </c>
    </row>
    <row r="46" spans="2:16">
      <c r="B46" s="36"/>
      <c r="C46" s="38">
        <f>C45*E3</f>
        <v>0</v>
      </c>
      <c r="D46" s="8"/>
      <c r="E46" s="8"/>
      <c r="F46" s="8"/>
      <c r="G46" s="8"/>
      <c r="I46" t="e">
        <f>I45*2/M3*1000</f>
        <v>#DIV/0!</v>
      </c>
      <c r="N46" t="e">
        <f>N45*2/M3*1000</f>
        <v>#DIV/0!</v>
      </c>
    </row>
    <row r="47" spans="2:16">
      <c r="B47" s="36"/>
      <c r="C47" s="38"/>
      <c r="D47" s="8"/>
      <c r="E47" s="8"/>
      <c r="F47" s="8"/>
      <c r="G47" s="8"/>
      <c r="I47" t="e">
        <f>I46/100</f>
        <v>#DIV/0!</v>
      </c>
      <c r="N47" t="e">
        <f>N46/10000</f>
        <v>#DIV/0!</v>
      </c>
    </row>
    <row r="48" spans="2:16">
      <c r="B48" s="36"/>
      <c r="C48" s="38"/>
      <c r="D48" s="8"/>
      <c r="E48" s="8"/>
      <c r="F48" s="8"/>
      <c r="G48" s="8"/>
    </row>
    <row r="49" spans="2:17" ht="17">
      <c r="B49" s="8"/>
      <c r="C49" s="8"/>
      <c r="D49" s="8"/>
      <c r="E49" s="8"/>
      <c r="F49" s="8"/>
      <c r="G49" s="8"/>
      <c r="H49" s="2" t="s">
        <v>14</v>
      </c>
      <c r="I49" s="13" t="s">
        <v>214</v>
      </c>
      <c r="J49" s="13" t="s">
        <v>49</v>
      </c>
      <c r="K49" s="13" t="s">
        <v>47</v>
      </c>
      <c r="L49" s="13" t="s">
        <v>50</v>
      </c>
      <c r="M49" s="13" t="s">
        <v>48</v>
      </c>
      <c r="N49" s="22" t="s">
        <v>7</v>
      </c>
      <c r="O49" s="13" t="s">
        <v>51</v>
      </c>
    </row>
    <row r="50" spans="2:17">
      <c r="B50" s="8"/>
      <c r="C50" s="8"/>
      <c r="D50" s="8"/>
      <c r="E50" s="8"/>
      <c r="F50" s="8"/>
      <c r="G50" s="8"/>
      <c r="H50" s="151">
        <v>1</v>
      </c>
      <c r="I50" s="154">
        <f>C30</f>
        <v>0</v>
      </c>
      <c r="J50" s="153">
        <f>I30</f>
        <v>0</v>
      </c>
      <c r="K50" s="153">
        <f t="shared" ref="K50:O50" si="5">J30</f>
        <v>0</v>
      </c>
      <c r="L50" s="153">
        <f t="shared" si="5"/>
        <v>0</v>
      </c>
      <c r="M50" s="153" t="e">
        <f t="shared" si="5"/>
        <v>#DIV/0!</v>
      </c>
      <c r="N50" s="153">
        <f t="shared" si="5"/>
        <v>0</v>
      </c>
      <c r="O50" s="153" t="e">
        <f t="shared" si="5"/>
        <v>#DIV/0!</v>
      </c>
      <c r="Q50" s="155">
        <f>I50*E$3</f>
        <v>0</v>
      </c>
    </row>
    <row r="51" spans="2:17">
      <c r="B51" s="2"/>
      <c r="C51" s="2"/>
      <c r="D51" s="2"/>
      <c r="E51" s="8"/>
      <c r="F51" s="8"/>
      <c r="G51" s="8"/>
      <c r="H51" s="151">
        <v>2</v>
      </c>
      <c r="I51" s="154">
        <f>C32</f>
        <v>0</v>
      </c>
      <c r="J51" s="153">
        <f t="shared" ref="J51:O51" si="6">I32</f>
        <v>0</v>
      </c>
      <c r="K51" s="153">
        <f t="shared" si="6"/>
        <v>0</v>
      </c>
      <c r="L51" s="153">
        <f t="shared" si="6"/>
        <v>0</v>
      </c>
      <c r="M51" s="153" t="e">
        <f t="shared" si="6"/>
        <v>#DIV/0!</v>
      </c>
      <c r="N51" s="153">
        <f t="shared" si="6"/>
        <v>0</v>
      </c>
      <c r="O51" s="153" t="e">
        <f t="shared" si="6"/>
        <v>#DIV/0!</v>
      </c>
      <c r="Q51" s="155">
        <f t="shared" ref="Q51:Q60" si="7">I51*E$3</f>
        <v>0</v>
      </c>
    </row>
    <row r="52" spans="2:17">
      <c r="B52" s="2"/>
      <c r="C52" s="2"/>
      <c r="D52" s="2"/>
      <c r="E52" s="8"/>
      <c r="F52" s="8"/>
      <c r="G52" s="8"/>
      <c r="H52" s="151" t="s">
        <v>210</v>
      </c>
      <c r="I52" s="154">
        <f>C33</f>
        <v>0</v>
      </c>
      <c r="J52" s="153">
        <f t="shared" ref="J52:O52" si="8">I33</f>
        <v>0</v>
      </c>
      <c r="K52" s="153" t="e">
        <f t="shared" si="8"/>
        <v>#DIV/0!</v>
      </c>
      <c r="L52" s="153" t="e">
        <f t="shared" si="8"/>
        <v>#DIV/0!</v>
      </c>
      <c r="M52" s="153" t="e">
        <f t="shared" si="8"/>
        <v>#DIV/0!</v>
      </c>
      <c r="N52" s="153">
        <f t="shared" si="8"/>
        <v>0</v>
      </c>
      <c r="O52" s="153" t="e">
        <f t="shared" si="8"/>
        <v>#DIV/0!</v>
      </c>
      <c r="Q52" s="155">
        <f t="shared" si="7"/>
        <v>0</v>
      </c>
    </row>
    <row r="53" spans="2:17">
      <c r="B53" s="2"/>
      <c r="C53" s="7"/>
      <c r="D53" s="2"/>
      <c r="E53" s="8"/>
      <c r="F53" s="8"/>
      <c r="G53" s="8"/>
      <c r="H53" s="151">
        <v>3</v>
      </c>
      <c r="I53" s="154">
        <f>C34</f>
        <v>0</v>
      </c>
      <c r="J53" s="153">
        <f t="shared" ref="J53:O53" si="9">I34</f>
        <v>0</v>
      </c>
      <c r="K53" s="153">
        <f t="shared" si="9"/>
        <v>0</v>
      </c>
      <c r="L53" s="153">
        <f t="shared" si="9"/>
        <v>0</v>
      </c>
      <c r="M53" s="153" t="e">
        <f t="shared" si="9"/>
        <v>#DIV/0!</v>
      </c>
      <c r="N53" s="153">
        <f t="shared" si="9"/>
        <v>0</v>
      </c>
      <c r="O53" s="153" t="e">
        <f t="shared" si="9"/>
        <v>#DIV/0!</v>
      </c>
      <c r="Q53" s="155">
        <f t="shared" si="7"/>
        <v>0</v>
      </c>
    </row>
    <row r="54" spans="2:17">
      <c r="B54" s="2"/>
      <c r="C54" s="7"/>
      <c r="D54" s="7"/>
      <c r="E54" s="8"/>
      <c r="F54" s="8"/>
      <c r="G54" s="8"/>
      <c r="H54" s="151">
        <v>4</v>
      </c>
      <c r="I54" s="154">
        <f>C36</f>
        <v>0</v>
      </c>
      <c r="J54" s="153">
        <f t="shared" ref="J54:O54" si="10">I36</f>
        <v>0</v>
      </c>
      <c r="K54" s="153">
        <f t="shared" si="10"/>
        <v>0</v>
      </c>
      <c r="L54" s="153">
        <f t="shared" si="10"/>
        <v>0</v>
      </c>
      <c r="M54" s="153" t="e">
        <f t="shared" si="10"/>
        <v>#DIV/0!</v>
      </c>
      <c r="N54" s="153">
        <f t="shared" si="10"/>
        <v>0</v>
      </c>
      <c r="O54" s="153" t="e">
        <f t="shared" si="10"/>
        <v>#DIV/0!</v>
      </c>
      <c r="Q54" s="155">
        <f t="shared" si="7"/>
        <v>0</v>
      </c>
    </row>
    <row r="55" spans="2:17" ht="17">
      <c r="B55" s="2"/>
      <c r="C55" s="7"/>
      <c r="D55" s="2"/>
      <c r="E55" s="8"/>
      <c r="F55" s="8"/>
      <c r="G55" s="8"/>
      <c r="H55" s="151" t="s">
        <v>211</v>
      </c>
      <c r="I55" s="154">
        <f>C37</f>
        <v>0</v>
      </c>
      <c r="J55" s="153">
        <f t="shared" ref="J55:O55" si="11">I37</f>
        <v>0</v>
      </c>
      <c r="K55" s="153" t="e">
        <f t="shared" si="11"/>
        <v>#DIV/0!</v>
      </c>
      <c r="L55" s="153" t="e">
        <f t="shared" si="11"/>
        <v>#DIV/0!</v>
      </c>
      <c r="M55" s="153" t="e">
        <f t="shared" si="11"/>
        <v>#DIV/0!</v>
      </c>
      <c r="N55" s="153">
        <f t="shared" si="11"/>
        <v>0</v>
      </c>
      <c r="O55" s="153" t="e">
        <f t="shared" si="11"/>
        <v>#DIV/0!</v>
      </c>
      <c r="Q55" s="155">
        <f t="shared" si="7"/>
        <v>0</v>
      </c>
    </row>
    <row r="56" spans="2:17">
      <c r="B56" s="2"/>
      <c r="C56" s="7"/>
      <c r="D56" s="2"/>
      <c r="E56" s="8"/>
      <c r="F56" s="8"/>
      <c r="G56" s="8"/>
      <c r="H56" s="151">
        <v>5</v>
      </c>
      <c r="I56" s="154">
        <f>C38</f>
        <v>0</v>
      </c>
      <c r="J56" s="153">
        <f t="shared" ref="J56:O56" si="12">I38</f>
        <v>0</v>
      </c>
      <c r="K56" s="153">
        <f t="shared" si="12"/>
        <v>0</v>
      </c>
      <c r="L56" s="153">
        <f t="shared" si="12"/>
        <v>0</v>
      </c>
      <c r="M56" s="153" t="e">
        <f t="shared" si="12"/>
        <v>#DIV/0!</v>
      </c>
      <c r="N56" s="153">
        <f t="shared" si="12"/>
        <v>0</v>
      </c>
      <c r="O56" s="153" t="e">
        <f t="shared" si="12"/>
        <v>#DIV/0!</v>
      </c>
      <c r="Q56" s="155">
        <f t="shared" si="7"/>
        <v>0</v>
      </c>
    </row>
    <row r="57" spans="2:17" ht="17">
      <c r="B57" s="2"/>
      <c r="C57" s="7"/>
      <c r="D57" s="7"/>
      <c r="E57" s="8"/>
      <c r="F57" s="8"/>
      <c r="G57" s="8"/>
      <c r="H57" s="151" t="s">
        <v>212</v>
      </c>
      <c r="I57" s="154">
        <f>C39</f>
        <v>0</v>
      </c>
      <c r="J57" s="153">
        <f t="shared" ref="J57:O57" si="13">I39</f>
        <v>0</v>
      </c>
      <c r="K57" s="153" t="e">
        <f t="shared" si="13"/>
        <v>#DIV/0!</v>
      </c>
      <c r="L57" s="153" t="e">
        <f t="shared" si="13"/>
        <v>#DIV/0!</v>
      </c>
      <c r="M57" s="153" t="e">
        <f t="shared" si="13"/>
        <v>#DIV/0!</v>
      </c>
      <c r="N57" s="153">
        <f t="shared" si="13"/>
        <v>0</v>
      </c>
      <c r="O57" s="153" t="e">
        <f t="shared" si="13"/>
        <v>#DIV/0!</v>
      </c>
      <c r="Q57" s="155">
        <f t="shared" si="7"/>
        <v>0</v>
      </c>
    </row>
    <row r="58" spans="2:17">
      <c r="B58" s="2"/>
      <c r="C58" s="7"/>
      <c r="D58" s="7"/>
      <c r="E58" s="8"/>
      <c r="F58" s="8"/>
      <c r="G58" s="8"/>
      <c r="H58" s="151">
        <v>6</v>
      </c>
      <c r="I58" s="154">
        <f>C40</f>
        <v>0</v>
      </c>
      <c r="J58" s="153">
        <f t="shared" ref="J58:O58" si="14">I40</f>
        <v>0</v>
      </c>
      <c r="K58" s="153">
        <f t="shared" si="14"/>
        <v>0</v>
      </c>
      <c r="L58" s="153">
        <f t="shared" si="14"/>
        <v>0</v>
      </c>
      <c r="M58" s="153" t="e">
        <f t="shared" si="14"/>
        <v>#DIV/0!</v>
      </c>
      <c r="N58" s="153">
        <f t="shared" si="14"/>
        <v>0</v>
      </c>
      <c r="O58" s="153" t="e">
        <f t="shared" si="14"/>
        <v>#DIV/0!</v>
      </c>
      <c r="Q58" s="155">
        <f t="shared" si="7"/>
        <v>0</v>
      </c>
    </row>
    <row r="59" spans="2:17">
      <c r="B59" s="2"/>
      <c r="C59" s="7"/>
      <c r="D59" s="2"/>
      <c r="E59" s="8"/>
      <c r="F59" s="8"/>
      <c r="G59" s="8"/>
      <c r="H59" s="151">
        <v>7</v>
      </c>
      <c r="I59" s="154">
        <f t="shared" ref="I59:I60" si="15">C41</f>
        <v>0</v>
      </c>
      <c r="J59" s="153">
        <f t="shared" ref="J59:O59" si="16">I41</f>
        <v>0</v>
      </c>
      <c r="K59" s="153">
        <f t="shared" si="16"/>
        <v>0</v>
      </c>
      <c r="L59" s="153">
        <f t="shared" si="16"/>
        <v>0</v>
      </c>
      <c r="M59" s="153" t="e">
        <f t="shared" si="16"/>
        <v>#DIV/0!</v>
      </c>
      <c r="N59" s="153">
        <f t="shared" si="16"/>
        <v>0</v>
      </c>
      <c r="O59" s="153" t="e">
        <f t="shared" si="16"/>
        <v>#DIV/0!</v>
      </c>
      <c r="Q59" s="155">
        <f t="shared" si="7"/>
        <v>0</v>
      </c>
    </row>
    <row r="60" spans="2:17">
      <c r="B60" s="2"/>
      <c r="C60" s="7"/>
      <c r="D60" s="2"/>
      <c r="E60" s="8"/>
      <c r="F60" s="8"/>
      <c r="G60" s="8"/>
      <c r="H60" s="151">
        <v>8</v>
      </c>
      <c r="I60" s="154">
        <f t="shared" si="15"/>
        <v>0</v>
      </c>
      <c r="J60" s="153">
        <f t="shared" ref="J60:O60" si="17">I42</f>
        <v>0</v>
      </c>
      <c r="K60" s="153">
        <f t="shared" si="17"/>
        <v>0</v>
      </c>
      <c r="L60" s="153">
        <f t="shared" si="17"/>
        <v>0</v>
      </c>
      <c r="M60" s="153" t="e">
        <f t="shared" si="17"/>
        <v>#DIV/0!</v>
      </c>
      <c r="N60" s="153">
        <f t="shared" si="17"/>
        <v>0</v>
      </c>
      <c r="O60" s="153" t="e">
        <f t="shared" si="17"/>
        <v>#DIV/0!</v>
      </c>
      <c r="Q60" s="155">
        <f t="shared" si="7"/>
        <v>0</v>
      </c>
    </row>
    <row r="61" spans="2:17">
      <c r="B61" s="2"/>
      <c r="C61" s="7"/>
      <c r="D61" s="2"/>
      <c r="E61" s="8"/>
      <c r="F61" s="8"/>
      <c r="G61" s="8"/>
      <c r="H61" s="114" t="s">
        <v>213</v>
      </c>
      <c r="J61" s="153">
        <f t="shared" ref="J61:O61" si="18">I45</f>
        <v>0</v>
      </c>
      <c r="K61" s="156"/>
      <c r="L61" s="153" t="e">
        <f t="shared" si="18"/>
        <v>#DIV/0!</v>
      </c>
      <c r="M61" s="179" t="e">
        <f>L61/J61</f>
        <v>#DIV/0!</v>
      </c>
      <c r="N61" s="153">
        <f t="shared" si="18"/>
        <v>0</v>
      </c>
      <c r="O61" s="153" t="e">
        <f t="shared" si="18"/>
        <v>#DIV/0!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41" zoomScale="110" zoomScaleNormal="110" zoomScalePageLayoutView="110" workbookViewId="0">
      <selection activeCell="C3" sqref="C3"/>
    </sheetView>
  </sheetViews>
  <sheetFormatPr baseColWidth="10" defaultRowHeight="14" x14ac:dyDescent="0"/>
  <cols>
    <col min="2" max="2" width="14.6640625" customWidth="1"/>
    <col min="10" max="10" width="12" bestFit="1" customWidth="1"/>
  </cols>
  <sheetData>
    <row r="2" spans="1:15" ht="17">
      <c r="B2" s="2" t="s">
        <v>0</v>
      </c>
      <c r="C2" s="2" t="s">
        <v>2</v>
      </c>
      <c r="D2" s="2" t="s">
        <v>21</v>
      </c>
      <c r="E2" s="8"/>
      <c r="F2" s="8"/>
      <c r="G2" s="8"/>
      <c r="H2" s="8"/>
      <c r="I2" s="8"/>
      <c r="J2" s="8"/>
      <c r="K2" s="8"/>
    </row>
    <row r="3" spans="1:15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>
      <c r="B5" s="127"/>
      <c r="C5" s="127"/>
      <c r="D5" s="127"/>
      <c r="E5" s="127"/>
      <c r="F5" s="127"/>
      <c r="G5" s="39"/>
      <c r="H5" s="8"/>
      <c r="I5" s="8"/>
      <c r="J5" s="8"/>
      <c r="K5" s="8"/>
    </row>
    <row r="6" spans="1:15">
      <c r="B6" s="128"/>
      <c r="C6" s="128"/>
      <c r="D6" s="128"/>
      <c r="E6" s="127"/>
      <c r="F6" s="127"/>
      <c r="G6" s="39"/>
      <c r="H6" s="8"/>
      <c r="I6" s="8"/>
      <c r="J6" s="8"/>
      <c r="K6" s="8"/>
    </row>
    <row r="7" spans="1:1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5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5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 ht="17">
      <c r="B10" s="13" t="s">
        <v>5</v>
      </c>
      <c r="C10" s="13" t="s">
        <v>46</v>
      </c>
      <c r="D10" s="13" t="s">
        <v>53</v>
      </c>
      <c r="E10" s="13" t="s">
        <v>49</v>
      </c>
      <c r="F10" s="13" t="s">
        <v>47</v>
      </c>
      <c r="G10" s="13" t="s">
        <v>50</v>
      </c>
      <c r="H10" s="13" t="s">
        <v>48</v>
      </c>
      <c r="I10" s="22" t="s">
        <v>7</v>
      </c>
      <c r="J10" s="13" t="s">
        <v>51</v>
      </c>
      <c r="K10" s="23" t="s">
        <v>12</v>
      </c>
      <c r="M10" s="13" t="s">
        <v>5</v>
      </c>
      <c r="N10" s="22" t="s">
        <v>7</v>
      </c>
      <c r="O10" s="13" t="s">
        <v>51</v>
      </c>
    </row>
    <row r="11" spans="1:15">
      <c r="A11">
        <v>1.8366229174628343</v>
      </c>
      <c r="B11" s="13">
        <v>1</v>
      </c>
      <c r="C11" s="14" t="e">
        <f>'largeur_eff_semelle bis (3)'!O10-données!I19</f>
        <v>#DIV/0!</v>
      </c>
      <c r="D11" s="78" t="e">
        <f>'raidisseur (3bis)'!$C$36</f>
        <v>#DIV/0!</v>
      </c>
      <c r="E11" s="105" t="e">
        <f>C11*D11</f>
        <v>#DIV/0!</v>
      </c>
      <c r="F11" s="14">
        <f>données!J30</f>
        <v>0</v>
      </c>
      <c r="G11" s="14" t="e">
        <f>E11*F11</f>
        <v>#DIV/0!</v>
      </c>
      <c r="H11" s="7" t="e">
        <f>$H$31-F11</f>
        <v>#DIV/0!</v>
      </c>
      <c r="I11" s="29">
        <f>données!M30</f>
        <v>0</v>
      </c>
      <c r="J11" s="7" t="e">
        <f>E11*I11^2/12+E11*H11^2</f>
        <v>#DIV/0!</v>
      </c>
      <c r="K11" s="28"/>
      <c r="M11" s="13">
        <v>1</v>
      </c>
      <c r="N11" s="3">
        <f>I11</f>
        <v>0</v>
      </c>
      <c r="O11" s="3" t="e">
        <f>J11</f>
        <v>#DIV/0!</v>
      </c>
    </row>
    <row r="12" spans="1:15">
      <c r="A12">
        <v>0.31780654472141567</v>
      </c>
      <c r="B12" s="13">
        <v>2</v>
      </c>
      <c r="C12" s="14">
        <f>données!C31</f>
        <v>0</v>
      </c>
      <c r="D12" s="78" t="e">
        <f>'raidisseur (3bis)'!$C$36</f>
        <v>#DIV/0!</v>
      </c>
      <c r="E12" s="105" t="e">
        <f t="shared" ref="E12:E17" si="0">C12*D12</f>
        <v>#DIV/0!</v>
      </c>
      <c r="F12" s="14" t="e">
        <f>données!J31</f>
        <v>#DIV/0!</v>
      </c>
      <c r="G12" s="14" t="e">
        <f t="shared" ref="G12:G28" si="1">E12*F12</f>
        <v>#DIV/0!</v>
      </c>
      <c r="H12" s="7" t="e">
        <f t="shared" ref="H12:H28" si="2">$H$31-F12</f>
        <v>#DIV/0!</v>
      </c>
      <c r="I12" s="29">
        <f>données!M31</f>
        <v>0</v>
      </c>
      <c r="J12" s="6" t="e">
        <f>B3*données!I$3^3*((données!D$3+SIN(données!D$3)*COS(données!D$3))/2-SIN(données!D$3)^2/données!D$3)+E12*H12^2</f>
        <v>#DIV/0!</v>
      </c>
      <c r="K12" s="8"/>
      <c r="M12" s="13">
        <v>2</v>
      </c>
      <c r="N12" s="3">
        <f t="shared" ref="N12:O31" si="3">I12</f>
        <v>0</v>
      </c>
      <c r="O12" s="3" t="e">
        <f t="shared" si="3"/>
        <v>#DIV/0!</v>
      </c>
    </row>
    <row r="13" spans="1:15">
      <c r="A13">
        <v>3.0004281433934668</v>
      </c>
      <c r="B13" s="13">
        <v>3</v>
      </c>
      <c r="C13" s="14">
        <f>données!C32</f>
        <v>0</v>
      </c>
      <c r="D13" s="78" t="e">
        <f>'raidisseur (3bis)'!$C$36</f>
        <v>#DIV/0!</v>
      </c>
      <c r="E13" s="105" t="e">
        <f t="shared" si="0"/>
        <v>#DIV/0!</v>
      </c>
      <c r="F13" s="14">
        <f>données!J32</f>
        <v>0</v>
      </c>
      <c r="G13" s="14" t="e">
        <f t="shared" si="1"/>
        <v>#DIV/0!</v>
      </c>
      <c r="H13" s="7" t="e">
        <f t="shared" si="2"/>
        <v>#DIV/0!</v>
      </c>
      <c r="I13" s="29">
        <f>données!M32</f>
        <v>0</v>
      </c>
      <c r="J13" s="7" t="e">
        <f t="shared" ref="J13:J28" si="4">E13*I13^2/12+E13*H13^2</f>
        <v>#DIV/0!</v>
      </c>
      <c r="K13" s="8"/>
      <c r="M13" s="13">
        <v>3</v>
      </c>
      <c r="N13" s="3">
        <f t="shared" si="3"/>
        <v>0</v>
      </c>
      <c r="O13" s="3" t="e">
        <f t="shared" si="3"/>
        <v>#DIV/0!</v>
      </c>
    </row>
    <row r="14" spans="1:15">
      <c r="A14">
        <v>0.63561308944283135</v>
      </c>
      <c r="B14" s="13">
        <v>4</v>
      </c>
      <c r="C14" s="14">
        <f>données!C33</f>
        <v>0</v>
      </c>
      <c r="D14" s="78" t="e">
        <f>'raidisseur (3bis)'!$C$36</f>
        <v>#DIV/0!</v>
      </c>
      <c r="E14" s="105" t="e">
        <f t="shared" si="0"/>
        <v>#DIV/0!</v>
      </c>
      <c r="F14" s="14" t="e">
        <f>données!J33</f>
        <v>#DIV/0!</v>
      </c>
      <c r="G14" s="14" t="e">
        <f t="shared" si="1"/>
        <v>#DIV/0!</v>
      </c>
      <c r="H14" s="7" t="e">
        <f t="shared" si="2"/>
        <v>#DIV/0!</v>
      </c>
      <c r="I14" s="29">
        <f>données!M33</f>
        <v>0</v>
      </c>
      <c r="J14" s="72" t="e">
        <f>B3*(données!$I$3^3*((données!$L$17+SIN(données!$L$17)*COS(données!$L$17))/2-SIN(données!$L$17)^2/données!$L$17))+E14*H14^2</f>
        <v>#DIV/0!</v>
      </c>
      <c r="K14" s="8"/>
      <c r="M14" s="13">
        <v>4</v>
      </c>
      <c r="N14" s="3">
        <f t="shared" si="3"/>
        <v>0</v>
      </c>
      <c r="O14" s="3" t="e">
        <f t="shared" si="3"/>
        <v>#DIV/0!</v>
      </c>
    </row>
    <row r="15" spans="1:15">
      <c r="A15">
        <v>3.0004281433934668</v>
      </c>
      <c r="B15" s="13">
        <v>5</v>
      </c>
      <c r="C15" s="14">
        <f>données!C34</f>
        <v>0</v>
      </c>
      <c r="D15" s="78" t="e">
        <f>'raidisseur (3bis)'!$C$36</f>
        <v>#DIV/0!</v>
      </c>
      <c r="E15" s="105" t="e">
        <f t="shared" si="0"/>
        <v>#DIV/0!</v>
      </c>
      <c r="F15" s="14">
        <f>données!J34</f>
        <v>0</v>
      </c>
      <c r="G15" s="14" t="e">
        <f t="shared" si="1"/>
        <v>#DIV/0!</v>
      </c>
      <c r="H15" s="7" t="e">
        <f t="shared" si="2"/>
        <v>#DIV/0!</v>
      </c>
      <c r="I15" s="29">
        <f>données!M34</f>
        <v>0</v>
      </c>
      <c r="J15" s="7" t="e">
        <f t="shared" si="4"/>
        <v>#DIV/0!</v>
      </c>
      <c r="K15" s="8"/>
      <c r="M15" s="13">
        <v>5</v>
      </c>
      <c r="N15" s="3">
        <f t="shared" si="3"/>
        <v>0</v>
      </c>
      <c r="O15" s="3" t="e">
        <f t="shared" si="3"/>
        <v>#DIV/0!</v>
      </c>
    </row>
    <row r="16" spans="1:15">
      <c r="A16">
        <v>0.31780654472141567</v>
      </c>
      <c r="B16" s="13">
        <v>6</v>
      </c>
      <c r="C16" s="14">
        <f>données!C35</f>
        <v>0</v>
      </c>
      <c r="D16" s="78" t="e">
        <f>'raidisseur (3bis)'!$C$36</f>
        <v>#DIV/0!</v>
      </c>
      <c r="E16" s="105" t="e">
        <f t="shared" si="0"/>
        <v>#DIV/0!</v>
      </c>
      <c r="F16" s="14" t="e">
        <f>données!J35</f>
        <v>#DIV/0!</v>
      </c>
      <c r="G16" s="14" t="e">
        <f t="shared" si="1"/>
        <v>#DIV/0!</v>
      </c>
      <c r="H16" s="7" t="e">
        <f t="shared" si="2"/>
        <v>#DIV/0!</v>
      </c>
      <c r="I16" s="29">
        <f>données!M35</f>
        <v>0</v>
      </c>
      <c r="J16" s="6" t="e">
        <f>B3*données!I$3^3*((données!D$3+SIN(données!D$3)*COS(données!D$3))/2-SIN(données!D$3)^2/données!D$3)+E16*H16^2</f>
        <v>#DIV/0!</v>
      </c>
      <c r="K16" s="8"/>
      <c r="M16" s="13">
        <v>6</v>
      </c>
      <c r="N16" s="3">
        <f t="shared" si="3"/>
        <v>0</v>
      </c>
      <c r="O16" s="3" t="e">
        <f t="shared" si="3"/>
        <v>#DIV/0!</v>
      </c>
    </row>
    <row r="17" spans="1:15">
      <c r="A17">
        <v>2.494058089096145</v>
      </c>
      <c r="B17" s="13">
        <v>71</v>
      </c>
      <c r="C17" s="21" t="e">
        <f>'largeur_eff_semelle bis (3)'!O5-données!I19</f>
        <v>#DIV/0!</v>
      </c>
      <c r="D17" s="78" t="e">
        <f>'raidisseur (3bis)'!$C$36</f>
        <v>#DIV/0!</v>
      </c>
      <c r="E17" s="105" t="e">
        <f t="shared" si="0"/>
        <v>#DIV/0!</v>
      </c>
      <c r="F17" s="14">
        <f>données!J36</f>
        <v>0</v>
      </c>
      <c r="G17" s="14" t="e">
        <f t="shared" si="1"/>
        <v>#DIV/0!</v>
      </c>
      <c r="H17" s="7" t="e">
        <f t="shared" si="2"/>
        <v>#DIV/0!</v>
      </c>
      <c r="I17" s="29">
        <f>données!M36</f>
        <v>0</v>
      </c>
      <c r="J17" s="7" t="e">
        <f t="shared" si="4"/>
        <v>#DIV/0!</v>
      </c>
      <c r="K17" s="8"/>
      <c r="M17" s="13">
        <v>7</v>
      </c>
      <c r="N17" s="3">
        <f t="shared" si="3"/>
        <v>0</v>
      </c>
      <c r="O17" s="3" t="e">
        <f t="shared" si="3"/>
        <v>#DIV/0!</v>
      </c>
    </row>
    <row r="18" spans="1:15">
      <c r="A18">
        <v>4.4130748054131246</v>
      </c>
      <c r="B18" s="13">
        <v>72</v>
      </c>
      <c r="C18" s="21" t="e">
        <f>'largeur_eff_semelle (3)'!O5-données!C19</f>
        <v>#DIV/0!</v>
      </c>
      <c r="D18" s="24">
        <f>$B$3</f>
        <v>0</v>
      </c>
      <c r="E18" s="14" t="e">
        <f t="shared" ref="E18:E28" si="5">C18*D18</f>
        <v>#DIV/0!</v>
      </c>
      <c r="F18" s="14">
        <f>données!J36</f>
        <v>0</v>
      </c>
      <c r="G18" s="14" t="e">
        <f t="shared" si="1"/>
        <v>#DIV/0!</v>
      </c>
      <c r="H18" s="7" t="e">
        <f t="shared" si="2"/>
        <v>#DIV/0!</v>
      </c>
      <c r="I18" s="29">
        <f>données!M36</f>
        <v>0</v>
      </c>
      <c r="J18" s="7" t="e">
        <f t="shared" si="4"/>
        <v>#DIV/0!</v>
      </c>
      <c r="K18" s="8"/>
      <c r="M18" s="13"/>
      <c r="N18" s="3"/>
      <c r="O18" s="3"/>
    </row>
    <row r="19" spans="1:15">
      <c r="A19">
        <v>5.2324292279075744</v>
      </c>
      <c r="B19" s="13">
        <v>8</v>
      </c>
      <c r="C19" s="21">
        <f>données!C37</f>
        <v>0</v>
      </c>
      <c r="D19" s="24">
        <f>$B$3</f>
        <v>0</v>
      </c>
      <c r="E19" s="14">
        <f t="shared" si="5"/>
        <v>0</v>
      </c>
      <c r="F19" s="14" t="e">
        <f>données!J37</f>
        <v>#DIV/0!</v>
      </c>
      <c r="G19" s="14" t="e">
        <f t="shared" si="1"/>
        <v>#DIV/0!</v>
      </c>
      <c r="H19" s="7" t="e">
        <f t="shared" si="2"/>
        <v>#DIV/0!</v>
      </c>
      <c r="I19" s="29">
        <f>données!M37</f>
        <v>0</v>
      </c>
      <c r="J19" s="6" t="e">
        <f>B3*données!J$3^3*((données!B$3+SIN(données!B$3)*COS(données!B$3))/2-SIN(données!B$3)^2/données!B$3)+E19*H19^2</f>
        <v>#DIV/0!</v>
      </c>
      <c r="K19" s="8"/>
      <c r="M19" s="13">
        <v>8</v>
      </c>
      <c r="N19" s="3">
        <f t="shared" si="3"/>
        <v>0</v>
      </c>
      <c r="O19" s="3" t="e">
        <f t="shared" si="3"/>
        <v>#DIV/0!</v>
      </c>
    </row>
    <row r="20" spans="1:15">
      <c r="A20">
        <v>37.653971598047455</v>
      </c>
      <c r="B20" s="13">
        <v>9</v>
      </c>
      <c r="C20" s="21">
        <f>données!C38</f>
        <v>0</v>
      </c>
      <c r="D20" s="24">
        <f>$B$3</f>
        <v>0</v>
      </c>
      <c r="E20" s="14">
        <f t="shared" si="5"/>
        <v>0</v>
      </c>
      <c r="F20" s="14">
        <f>données!J38</f>
        <v>0</v>
      </c>
      <c r="G20" s="14">
        <f t="shared" si="1"/>
        <v>0</v>
      </c>
      <c r="H20" s="7" t="e">
        <f t="shared" si="2"/>
        <v>#DIV/0!</v>
      </c>
      <c r="I20" s="29">
        <f>données!M38</f>
        <v>0</v>
      </c>
      <c r="J20" s="7" t="e">
        <f t="shared" si="4"/>
        <v>#DIV/0!</v>
      </c>
      <c r="K20" s="8"/>
      <c r="M20" s="13">
        <v>9</v>
      </c>
      <c r="N20" s="3">
        <f t="shared" si="3"/>
        <v>0</v>
      </c>
      <c r="O20" s="3" t="e">
        <f t="shared" si="3"/>
        <v>#DIV/0!</v>
      </c>
    </row>
    <row r="21" spans="1:15">
      <c r="B21" s="13"/>
      <c r="C21" s="21">
        <f>-data!$Q$14</f>
        <v>0</v>
      </c>
      <c r="D21" s="99">
        <f>B3</f>
        <v>0</v>
      </c>
      <c r="E21" s="14">
        <f t="shared" si="5"/>
        <v>0</v>
      </c>
      <c r="F21" s="14">
        <f>data!$S$14</f>
        <v>0</v>
      </c>
      <c r="G21" s="14">
        <f t="shared" si="1"/>
        <v>0</v>
      </c>
      <c r="H21" s="7" t="e">
        <f t="shared" si="2"/>
        <v>#DIV/0!</v>
      </c>
      <c r="I21" s="107">
        <f>-C21*SIN(données!$B$3)</f>
        <v>0</v>
      </c>
      <c r="J21" s="7" t="e">
        <f>E21*I21^2/12+E21*H21^2</f>
        <v>#DIV/0!</v>
      </c>
      <c r="K21" s="8"/>
      <c r="M21" s="13"/>
      <c r="N21" s="3"/>
      <c r="O21" s="3"/>
    </row>
    <row r="22" spans="1:15">
      <c r="B22" s="13"/>
      <c r="C22" s="21">
        <f>data!$Q$14</f>
        <v>0</v>
      </c>
      <c r="D22" s="99" t="e">
        <f>B3*données!R3</f>
        <v>#VALUE!</v>
      </c>
      <c r="E22" s="14" t="e">
        <f t="shared" si="5"/>
        <v>#VALUE!</v>
      </c>
      <c r="F22" s="14">
        <f>data!$S$14</f>
        <v>0</v>
      </c>
      <c r="G22" s="14" t="e">
        <f t="shared" si="1"/>
        <v>#VALUE!</v>
      </c>
      <c r="H22" s="7" t="e">
        <f t="shared" si="2"/>
        <v>#DIV/0!</v>
      </c>
      <c r="I22" s="107">
        <f>C22*SIN(données!$B$3)</f>
        <v>0</v>
      </c>
      <c r="J22" s="7" t="e">
        <f>E22*I22^2/12+E22*H22^2</f>
        <v>#VALUE!</v>
      </c>
      <c r="K22" s="8"/>
      <c r="M22" s="13"/>
      <c r="N22" s="3"/>
      <c r="O22" s="3"/>
    </row>
    <row r="23" spans="1:15">
      <c r="B23" s="13"/>
      <c r="C23" s="21">
        <f>-data!$R$14</f>
        <v>0</v>
      </c>
      <c r="D23" s="99">
        <f>B3</f>
        <v>0</v>
      </c>
      <c r="E23" s="14">
        <f t="shared" si="5"/>
        <v>0</v>
      </c>
      <c r="F23" s="14">
        <f>data!$T$14</f>
        <v>0</v>
      </c>
      <c r="G23" s="14">
        <f t="shared" si="1"/>
        <v>0</v>
      </c>
      <c r="H23" s="7" t="e">
        <f t="shared" si="2"/>
        <v>#DIV/0!</v>
      </c>
      <c r="I23" s="107">
        <f>-C23*SIN(données!$B$3)</f>
        <v>0</v>
      </c>
      <c r="J23" s="7" t="e">
        <f>E23*I23^2/12+E23*H23^2</f>
        <v>#DIV/0!</v>
      </c>
      <c r="K23" s="8"/>
      <c r="M23" s="13"/>
      <c r="N23" s="3"/>
      <c r="O23" s="3"/>
    </row>
    <row r="24" spans="1:15">
      <c r="B24" s="13"/>
      <c r="C24" s="21">
        <f>data!$R$14</f>
        <v>0</v>
      </c>
      <c r="D24" s="99" t="e">
        <f>B3*données!R3</f>
        <v>#VALUE!</v>
      </c>
      <c r="E24" s="14" t="e">
        <f t="shared" si="5"/>
        <v>#VALUE!</v>
      </c>
      <c r="F24" s="14">
        <f>data!$T$14</f>
        <v>0</v>
      </c>
      <c r="G24" s="14" t="e">
        <f t="shared" si="1"/>
        <v>#VALUE!</v>
      </c>
      <c r="H24" s="7" t="e">
        <f t="shared" si="2"/>
        <v>#DIV/0!</v>
      </c>
      <c r="I24" s="107">
        <f>C24*SIN(données!$B$3)</f>
        <v>0</v>
      </c>
      <c r="J24" s="7" t="e">
        <f>E24*I24^2/12+E24*H24^2</f>
        <v>#VALUE!</v>
      </c>
      <c r="K24" s="8"/>
      <c r="M24" s="13"/>
      <c r="N24" s="3"/>
      <c r="O24" s="3"/>
    </row>
    <row r="25" spans="1:15">
      <c r="A25">
        <v>5.2324292279075744</v>
      </c>
      <c r="B25" s="13">
        <v>10</v>
      </c>
      <c r="C25" s="21">
        <f>données!C39</f>
        <v>0</v>
      </c>
      <c r="D25" s="24">
        <f t="shared" ref="D25:D26" si="6">$B$3</f>
        <v>0</v>
      </c>
      <c r="E25" s="14">
        <f t="shared" si="5"/>
        <v>0</v>
      </c>
      <c r="F25" s="14" t="e">
        <f>données!J39</f>
        <v>#DIV/0!</v>
      </c>
      <c r="G25" s="14" t="e">
        <f t="shared" si="1"/>
        <v>#DIV/0!</v>
      </c>
      <c r="H25" s="7" t="e">
        <f t="shared" si="2"/>
        <v>#DIV/0!</v>
      </c>
      <c r="I25" s="29">
        <f>données!M39</f>
        <v>0</v>
      </c>
      <c r="J25" s="6" t="e">
        <f>B3*données!$K$3^3*((données!$C$17+SIN(données!$C$17)*COS(données!$C$17))/2-SIN(données!$C$17)^2/données!$C$17)+E25*H25^2</f>
        <v>#DIV/0!</v>
      </c>
      <c r="K25" s="8"/>
      <c r="M25" s="13">
        <v>10</v>
      </c>
      <c r="N25" s="3">
        <f t="shared" si="3"/>
        <v>0</v>
      </c>
      <c r="O25" s="3" t="e">
        <f t="shared" si="3"/>
        <v>#DIV/0!</v>
      </c>
    </row>
    <row r="26" spans="1:15">
      <c r="A26">
        <v>8.6595968800879</v>
      </c>
      <c r="B26" s="13">
        <v>11</v>
      </c>
      <c r="C26" s="21">
        <f>données!C40</f>
        <v>0</v>
      </c>
      <c r="D26" s="24">
        <f t="shared" si="6"/>
        <v>0</v>
      </c>
      <c r="E26" s="14">
        <f t="shared" si="5"/>
        <v>0</v>
      </c>
      <c r="F26" s="14">
        <f>données!J40</f>
        <v>0</v>
      </c>
      <c r="G26" s="14">
        <f t="shared" si="1"/>
        <v>0</v>
      </c>
      <c r="H26" s="7" t="e">
        <f t="shared" si="2"/>
        <v>#DIV/0!</v>
      </c>
      <c r="I26" s="29">
        <f>données!M40</f>
        <v>0</v>
      </c>
      <c r="J26" s="7" t="e">
        <f t="shared" si="4"/>
        <v>#DIV/0!</v>
      </c>
      <c r="K26" s="8"/>
      <c r="M26" s="13">
        <v>11</v>
      </c>
      <c r="N26" s="3">
        <f t="shared" si="3"/>
        <v>0</v>
      </c>
      <c r="O26" s="3" t="e">
        <f t="shared" si="3"/>
        <v>#DIV/0!</v>
      </c>
    </row>
    <row r="27" spans="1:15">
      <c r="A27">
        <v>0.75573333333333315</v>
      </c>
      <c r="B27" s="13">
        <v>12</v>
      </c>
      <c r="C27" s="21">
        <f>données!C41</f>
        <v>0</v>
      </c>
      <c r="D27" s="24">
        <f>$B$3</f>
        <v>0</v>
      </c>
      <c r="E27" s="14">
        <f t="shared" si="5"/>
        <v>0</v>
      </c>
      <c r="F27" s="14">
        <f>données!J41</f>
        <v>0</v>
      </c>
      <c r="G27" s="14">
        <f t="shared" si="1"/>
        <v>0</v>
      </c>
      <c r="H27" s="7" t="e">
        <f t="shared" si="2"/>
        <v>#DIV/0!</v>
      </c>
      <c r="I27" s="29">
        <f>données!M41</f>
        <v>0</v>
      </c>
      <c r="J27" s="7" t="e">
        <f t="shared" si="4"/>
        <v>#DIV/0!</v>
      </c>
      <c r="K27" s="8"/>
      <c r="M27" s="13">
        <v>12</v>
      </c>
      <c r="N27" s="3">
        <f t="shared" si="3"/>
        <v>0</v>
      </c>
      <c r="O27" s="3" t="e">
        <f t="shared" si="3"/>
        <v>#DIV/0!</v>
      </c>
    </row>
    <row r="28" spans="1:15">
      <c r="A28">
        <v>7.9351999999999991</v>
      </c>
      <c r="B28" s="13">
        <v>13</v>
      </c>
      <c r="C28" s="21">
        <f>données!C42</f>
        <v>0</v>
      </c>
      <c r="D28" s="24">
        <f t="shared" ref="D28" si="7">$B$3</f>
        <v>0</v>
      </c>
      <c r="E28" s="14">
        <f t="shared" si="5"/>
        <v>0</v>
      </c>
      <c r="F28" s="14">
        <f>données!J42</f>
        <v>0</v>
      </c>
      <c r="G28" s="14">
        <f t="shared" si="1"/>
        <v>0</v>
      </c>
      <c r="H28" s="7" t="e">
        <f t="shared" si="2"/>
        <v>#DIV/0!</v>
      </c>
      <c r="I28" s="29">
        <f>données!M42</f>
        <v>0</v>
      </c>
      <c r="J28" s="7" t="e">
        <f t="shared" si="4"/>
        <v>#DIV/0!</v>
      </c>
      <c r="K28" s="8"/>
      <c r="M28" s="13"/>
      <c r="N28" s="3"/>
      <c r="O28" s="3"/>
    </row>
    <row r="29" spans="1:15">
      <c r="B29" s="13"/>
      <c r="C29" s="21"/>
      <c r="D29" s="24"/>
      <c r="E29" s="14"/>
      <c r="F29" s="14"/>
      <c r="G29" s="14"/>
      <c r="H29" s="7"/>
      <c r="I29" s="29"/>
      <c r="J29" s="6"/>
      <c r="K29" s="8"/>
      <c r="M29" s="13"/>
      <c r="N29" s="3"/>
      <c r="O29" s="3"/>
    </row>
    <row r="30" spans="1:15">
      <c r="B30" s="13"/>
      <c r="C30" s="21"/>
      <c r="D30" s="24"/>
      <c r="E30" s="14"/>
      <c r="F30" s="14"/>
      <c r="G30" s="14"/>
      <c r="H30" s="7"/>
      <c r="I30" s="29"/>
      <c r="J30" s="7"/>
      <c r="K30" s="8"/>
      <c r="M30" s="13"/>
      <c r="N30" s="3"/>
      <c r="O30" s="3"/>
    </row>
    <row r="31" spans="1:15">
      <c r="B31" s="13" t="s">
        <v>6</v>
      </c>
      <c r="C31" s="8"/>
      <c r="D31" s="8"/>
      <c r="E31" s="25" t="e">
        <f>SUM(E11:E30)</f>
        <v>#DIV/0!</v>
      </c>
      <c r="F31" s="8"/>
      <c r="G31" s="25" t="e">
        <f>SUM(G11:G30)</f>
        <v>#DIV/0!</v>
      </c>
      <c r="H31" s="25" t="e">
        <f>G31/E31</f>
        <v>#DIV/0!</v>
      </c>
      <c r="I31" s="8"/>
      <c r="J31" s="12" t="e">
        <f>SUM(J11:J30)</f>
        <v>#DIV/0!</v>
      </c>
      <c r="K31" s="8" t="s">
        <v>76</v>
      </c>
      <c r="M31" s="13" t="s">
        <v>6</v>
      </c>
      <c r="N31" s="1"/>
      <c r="O31" s="3" t="e">
        <f t="shared" si="3"/>
        <v>#DIV/0!</v>
      </c>
    </row>
    <row r="32" spans="1:15">
      <c r="B32" s="8"/>
      <c r="C32" s="8"/>
      <c r="D32" s="8"/>
      <c r="E32" s="8"/>
      <c r="F32" s="8"/>
      <c r="G32" s="8"/>
      <c r="H32" s="9" t="e">
        <f>données!N3-'résistance_section (3)'!H31</f>
        <v>#DIV/0!</v>
      </c>
      <c r="I32" s="8"/>
      <c r="J32" s="8" t="e">
        <f>J31*2</f>
        <v>#DIV/0!</v>
      </c>
      <c r="K32" s="8" t="s">
        <v>78</v>
      </c>
      <c r="O32" s="33" t="e">
        <f t="shared" ref="O32" si="8">J32</f>
        <v>#DIV/0!</v>
      </c>
    </row>
    <row r="33" spans="2:11">
      <c r="B33" s="8" t="s">
        <v>57</v>
      </c>
      <c r="C33" s="8" t="e">
        <f>J31/MAX(H31,H32)</f>
        <v>#DIV/0!</v>
      </c>
      <c r="D33" s="8" t="s">
        <v>76</v>
      </c>
      <c r="E33" s="8"/>
      <c r="F33" s="8"/>
      <c r="G33" s="8"/>
      <c r="H33" s="8"/>
      <c r="I33" s="8"/>
      <c r="J33" s="8" t="e">
        <f>J32/données!M3</f>
        <v>#DIV/0!</v>
      </c>
      <c r="K33" s="8"/>
    </row>
    <row r="34" spans="2:11">
      <c r="B34" s="8" t="s">
        <v>57</v>
      </c>
      <c r="C34" s="8" t="e">
        <f>2*C33</f>
        <v>#DIV/0!</v>
      </c>
      <c r="D34" s="8" t="s">
        <v>78</v>
      </c>
      <c r="E34" s="8"/>
      <c r="F34" s="8"/>
      <c r="G34" s="8"/>
      <c r="H34" s="8"/>
      <c r="I34" s="8"/>
      <c r="J34" s="8"/>
      <c r="K34" s="8"/>
    </row>
    <row r="35" spans="2:11">
      <c r="B35" s="8" t="s">
        <v>57</v>
      </c>
      <c r="C35" s="8" t="e">
        <f>C34/données!M3</f>
        <v>#DIV/0!</v>
      </c>
      <c r="D35" s="8" t="s">
        <v>79</v>
      </c>
      <c r="E35" s="8"/>
      <c r="F35" s="8"/>
      <c r="G35" s="8"/>
      <c r="H35" s="8"/>
      <c r="I35" s="8"/>
      <c r="J35" s="8"/>
      <c r="K35" s="8"/>
    </row>
    <row r="36" spans="2:1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>
      <c r="B37" s="8" t="s">
        <v>13</v>
      </c>
      <c r="C37" s="8" t="s">
        <v>13</v>
      </c>
      <c r="D37" s="8"/>
      <c r="E37" s="8"/>
      <c r="F37" s="8"/>
      <c r="G37" s="8"/>
      <c r="H37" s="8"/>
      <c r="I37" s="8"/>
      <c r="J37" s="102">
        <v>448.48655778866902</v>
      </c>
      <c r="K37" s="104" t="e">
        <f>(J37-J33)/J37</f>
        <v>#DIV/0!</v>
      </c>
    </row>
    <row r="38" spans="2:11">
      <c r="B38" s="30" t="e">
        <f>D3*C35*1</f>
        <v>#DIV/0!</v>
      </c>
      <c r="C38" s="32" t="s">
        <v>80</v>
      </c>
      <c r="D38" s="8"/>
      <c r="E38" s="97">
        <f>F38*(1-0.097)</f>
        <v>4849.7330295032243</v>
      </c>
      <c r="F38" s="103">
        <v>5370.6899551530723</v>
      </c>
      <c r="G38" s="8"/>
      <c r="H38" s="8"/>
      <c r="I38" s="8"/>
      <c r="J38" s="8"/>
      <c r="K38" s="8"/>
    </row>
    <row r="39" spans="2:11">
      <c r="B39" s="181" t="e">
        <f>B38/1000</f>
        <v>#DIV/0!</v>
      </c>
      <c r="C39" t="s">
        <v>81</v>
      </c>
      <c r="D39" t="e">
        <f>(4.54-B39)/4.54</f>
        <v>#DIV/0!</v>
      </c>
    </row>
    <row r="40" spans="2:11">
      <c r="B40" s="31"/>
    </row>
    <row r="41" spans="2:11">
      <c r="B41" s="31"/>
    </row>
    <row r="42" spans="2:11" ht="17">
      <c r="B42" s="13" t="s">
        <v>5</v>
      </c>
      <c r="C42" s="13" t="s">
        <v>214</v>
      </c>
      <c r="D42" s="13" t="s">
        <v>53</v>
      </c>
      <c r="E42" s="13" t="s">
        <v>49</v>
      </c>
      <c r="F42" s="13" t="s">
        <v>47</v>
      </c>
      <c r="G42" s="13" t="s">
        <v>50</v>
      </c>
      <c r="H42" s="13" t="s">
        <v>48</v>
      </c>
      <c r="I42" s="22" t="s">
        <v>7</v>
      </c>
      <c r="J42" s="13" t="s">
        <v>51</v>
      </c>
    </row>
    <row r="43" spans="2:11">
      <c r="B43" s="13">
        <v>1</v>
      </c>
      <c r="C43" s="162" t="e">
        <f>C11</f>
        <v>#DIV/0!</v>
      </c>
      <c r="D43" s="162" t="e">
        <f t="shared" ref="D43:J43" si="9">D11</f>
        <v>#DIV/0!</v>
      </c>
      <c r="E43" s="170" t="e">
        <f t="shared" si="9"/>
        <v>#DIV/0!</v>
      </c>
      <c r="F43" s="170">
        <f t="shared" si="9"/>
        <v>0</v>
      </c>
      <c r="G43" s="170" t="e">
        <f t="shared" si="9"/>
        <v>#DIV/0!</v>
      </c>
      <c r="H43" s="170" t="e">
        <f t="shared" si="9"/>
        <v>#DIV/0!</v>
      </c>
      <c r="I43" s="170">
        <f t="shared" si="9"/>
        <v>0</v>
      </c>
      <c r="J43" s="170" t="e">
        <f t="shared" si="9"/>
        <v>#DIV/0!</v>
      </c>
    </row>
    <row r="44" spans="2:11">
      <c r="B44" s="13">
        <v>2</v>
      </c>
      <c r="C44" s="162">
        <f>C13</f>
        <v>0</v>
      </c>
      <c r="D44" s="162" t="e">
        <f t="shared" ref="D44:J44" si="10">D13</f>
        <v>#DIV/0!</v>
      </c>
      <c r="E44" s="170" t="e">
        <f t="shared" si="10"/>
        <v>#DIV/0!</v>
      </c>
      <c r="F44" s="170">
        <f t="shared" si="10"/>
        <v>0</v>
      </c>
      <c r="G44" s="170" t="e">
        <f t="shared" si="10"/>
        <v>#DIV/0!</v>
      </c>
      <c r="H44" s="170" t="e">
        <f t="shared" si="10"/>
        <v>#DIV/0!</v>
      </c>
      <c r="I44" s="170">
        <f t="shared" si="10"/>
        <v>0</v>
      </c>
      <c r="J44" s="170" t="e">
        <f t="shared" si="10"/>
        <v>#DIV/0!</v>
      </c>
    </row>
    <row r="45" spans="2:11">
      <c r="B45" s="13" t="s">
        <v>210</v>
      </c>
      <c r="C45" s="162">
        <f t="shared" ref="C45:J46" si="11">C14</f>
        <v>0</v>
      </c>
      <c r="D45" s="162" t="e">
        <f t="shared" si="11"/>
        <v>#DIV/0!</v>
      </c>
      <c r="E45" s="170" t="e">
        <f t="shared" si="11"/>
        <v>#DIV/0!</v>
      </c>
      <c r="F45" s="170" t="e">
        <f t="shared" si="11"/>
        <v>#DIV/0!</v>
      </c>
      <c r="G45" s="170" t="e">
        <f t="shared" si="11"/>
        <v>#DIV/0!</v>
      </c>
      <c r="H45" s="170" t="e">
        <f t="shared" si="11"/>
        <v>#DIV/0!</v>
      </c>
      <c r="I45" s="170">
        <f t="shared" si="11"/>
        <v>0</v>
      </c>
      <c r="J45" s="170" t="e">
        <f t="shared" si="11"/>
        <v>#DIV/0!</v>
      </c>
    </row>
    <row r="46" spans="2:11">
      <c r="B46" s="13">
        <v>3</v>
      </c>
      <c r="C46" s="162">
        <f t="shared" si="11"/>
        <v>0</v>
      </c>
      <c r="D46" s="162" t="e">
        <f t="shared" si="11"/>
        <v>#DIV/0!</v>
      </c>
      <c r="E46" s="170" t="e">
        <f t="shared" si="11"/>
        <v>#DIV/0!</v>
      </c>
      <c r="F46" s="170">
        <f t="shared" si="11"/>
        <v>0</v>
      </c>
      <c r="G46" s="170" t="e">
        <f t="shared" si="11"/>
        <v>#DIV/0!</v>
      </c>
      <c r="H46" s="170" t="e">
        <f t="shared" si="11"/>
        <v>#DIV/0!</v>
      </c>
      <c r="I46" s="170">
        <f t="shared" si="11"/>
        <v>0</v>
      </c>
      <c r="J46" s="170" t="e">
        <f t="shared" si="11"/>
        <v>#DIV/0!</v>
      </c>
    </row>
    <row r="47" spans="2:11">
      <c r="B47" s="13">
        <v>41</v>
      </c>
      <c r="C47" s="162" t="e">
        <f>C17</f>
        <v>#DIV/0!</v>
      </c>
      <c r="D47" s="162" t="e">
        <f t="shared" ref="D47:J47" si="12">D17</f>
        <v>#DIV/0!</v>
      </c>
      <c r="E47" s="170" t="e">
        <f t="shared" si="12"/>
        <v>#DIV/0!</v>
      </c>
      <c r="F47" s="170">
        <f t="shared" si="12"/>
        <v>0</v>
      </c>
      <c r="G47" s="170" t="e">
        <f t="shared" si="12"/>
        <v>#DIV/0!</v>
      </c>
      <c r="H47" s="170" t="e">
        <f t="shared" si="12"/>
        <v>#DIV/0!</v>
      </c>
      <c r="I47" s="170">
        <f t="shared" si="12"/>
        <v>0</v>
      </c>
      <c r="J47" s="170" t="e">
        <f t="shared" si="12"/>
        <v>#DIV/0!</v>
      </c>
    </row>
    <row r="48" spans="2:11">
      <c r="B48" s="13">
        <v>42</v>
      </c>
      <c r="C48" s="162" t="e">
        <f t="shared" ref="C48:J50" si="13">C18</f>
        <v>#DIV/0!</v>
      </c>
      <c r="D48" s="162">
        <f t="shared" si="13"/>
        <v>0</v>
      </c>
      <c r="E48" s="170" t="e">
        <f t="shared" si="13"/>
        <v>#DIV/0!</v>
      </c>
      <c r="F48" s="170">
        <f t="shared" si="13"/>
        <v>0</v>
      </c>
      <c r="G48" s="170" t="e">
        <f t="shared" si="13"/>
        <v>#DIV/0!</v>
      </c>
      <c r="H48" s="170" t="e">
        <f t="shared" si="13"/>
        <v>#DIV/0!</v>
      </c>
      <c r="I48" s="170">
        <f t="shared" si="13"/>
        <v>0</v>
      </c>
      <c r="J48" s="170" t="e">
        <f t="shared" si="13"/>
        <v>#DIV/0!</v>
      </c>
    </row>
    <row r="49" spans="2:10" ht="17">
      <c r="B49" s="13" t="s">
        <v>211</v>
      </c>
      <c r="C49" s="162">
        <f t="shared" si="13"/>
        <v>0</v>
      </c>
      <c r="D49" s="162">
        <f t="shared" si="13"/>
        <v>0</v>
      </c>
      <c r="E49" s="170">
        <f t="shared" si="13"/>
        <v>0</v>
      </c>
      <c r="F49" s="170" t="e">
        <f t="shared" si="13"/>
        <v>#DIV/0!</v>
      </c>
      <c r="G49" s="170" t="e">
        <f t="shared" si="13"/>
        <v>#DIV/0!</v>
      </c>
      <c r="H49" s="170" t="e">
        <f t="shared" si="13"/>
        <v>#DIV/0!</v>
      </c>
      <c r="I49" s="170">
        <f t="shared" si="13"/>
        <v>0</v>
      </c>
      <c r="J49" s="170" t="e">
        <f t="shared" si="13"/>
        <v>#DIV/0!</v>
      </c>
    </row>
    <row r="50" spans="2:10">
      <c r="B50" s="13">
        <v>5</v>
      </c>
      <c r="C50" s="162">
        <f t="shared" si="13"/>
        <v>0</v>
      </c>
      <c r="D50" s="162">
        <f t="shared" ref="D50:J50" si="14">D20</f>
        <v>0</v>
      </c>
      <c r="E50" s="170">
        <f t="shared" si="14"/>
        <v>0</v>
      </c>
      <c r="F50" s="170">
        <f t="shared" si="14"/>
        <v>0</v>
      </c>
      <c r="G50" s="170">
        <f t="shared" si="14"/>
        <v>0</v>
      </c>
      <c r="H50" s="170" t="e">
        <f t="shared" si="14"/>
        <v>#DIV/0!</v>
      </c>
      <c r="I50" s="170">
        <f t="shared" si="14"/>
        <v>0</v>
      </c>
      <c r="J50" s="170" t="e">
        <f t="shared" si="14"/>
        <v>#DIV/0!</v>
      </c>
    </row>
    <row r="51" spans="2:10">
      <c r="B51" s="258" t="s">
        <v>217</v>
      </c>
      <c r="C51" s="162">
        <f t="shared" ref="C51:J51" si="15">C21</f>
        <v>0</v>
      </c>
      <c r="D51" s="162">
        <f t="shared" si="15"/>
        <v>0</v>
      </c>
      <c r="E51" s="170">
        <f t="shared" si="15"/>
        <v>0</v>
      </c>
      <c r="F51" s="170">
        <f t="shared" si="15"/>
        <v>0</v>
      </c>
      <c r="G51" s="170">
        <f t="shared" si="15"/>
        <v>0</v>
      </c>
      <c r="H51" s="170" t="e">
        <f t="shared" si="15"/>
        <v>#DIV/0!</v>
      </c>
      <c r="I51" s="170">
        <f t="shared" si="15"/>
        <v>0</v>
      </c>
      <c r="J51" s="170" t="e">
        <f t="shared" si="15"/>
        <v>#DIV/0!</v>
      </c>
    </row>
    <row r="52" spans="2:10">
      <c r="B52" s="259"/>
      <c r="C52" s="162">
        <f t="shared" ref="C52:J52" si="16">C22</f>
        <v>0</v>
      </c>
      <c r="D52" s="162" t="e">
        <f t="shared" si="16"/>
        <v>#VALUE!</v>
      </c>
      <c r="E52" s="170" t="e">
        <f t="shared" si="16"/>
        <v>#VALUE!</v>
      </c>
      <c r="F52" s="170">
        <f t="shared" si="16"/>
        <v>0</v>
      </c>
      <c r="G52" s="170" t="e">
        <f t="shared" si="16"/>
        <v>#VALUE!</v>
      </c>
      <c r="H52" s="170" t="e">
        <f t="shared" si="16"/>
        <v>#DIV/0!</v>
      </c>
      <c r="I52" s="170">
        <f t="shared" si="16"/>
        <v>0</v>
      </c>
      <c r="J52" s="170" t="e">
        <f t="shared" si="16"/>
        <v>#VALUE!</v>
      </c>
    </row>
    <row r="53" spans="2:10">
      <c r="B53" s="258" t="s">
        <v>218</v>
      </c>
      <c r="C53" s="162">
        <f t="shared" ref="C53:J53" si="17">C23</f>
        <v>0</v>
      </c>
      <c r="D53" s="162">
        <f t="shared" si="17"/>
        <v>0</v>
      </c>
      <c r="E53" s="170">
        <f t="shared" si="17"/>
        <v>0</v>
      </c>
      <c r="F53" s="170">
        <f t="shared" si="17"/>
        <v>0</v>
      </c>
      <c r="G53" s="170">
        <f t="shared" si="17"/>
        <v>0</v>
      </c>
      <c r="H53" s="170" t="e">
        <f t="shared" si="17"/>
        <v>#DIV/0!</v>
      </c>
      <c r="I53" s="170">
        <f t="shared" si="17"/>
        <v>0</v>
      </c>
      <c r="J53" s="170" t="e">
        <f t="shared" si="17"/>
        <v>#DIV/0!</v>
      </c>
    </row>
    <row r="54" spans="2:10">
      <c r="B54" s="259"/>
      <c r="C54" s="162">
        <f t="shared" ref="C54:J54" si="18">C24</f>
        <v>0</v>
      </c>
      <c r="D54" s="162" t="e">
        <f t="shared" si="18"/>
        <v>#VALUE!</v>
      </c>
      <c r="E54" s="170" t="e">
        <f t="shared" si="18"/>
        <v>#VALUE!</v>
      </c>
      <c r="F54" s="170">
        <f t="shared" si="18"/>
        <v>0</v>
      </c>
      <c r="G54" s="170" t="e">
        <f t="shared" si="18"/>
        <v>#VALUE!</v>
      </c>
      <c r="H54" s="170" t="e">
        <f t="shared" si="18"/>
        <v>#DIV/0!</v>
      </c>
      <c r="I54" s="170">
        <f t="shared" si="18"/>
        <v>0</v>
      </c>
      <c r="J54" s="170" t="e">
        <f t="shared" si="18"/>
        <v>#VALUE!</v>
      </c>
    </row>
    <row r="55" spans="2:10" ht="17">
      <c r="B55" s="13" t="s">
        <v>212</v>
      </c>
      <c r="C55" s="162">
        <f t="shared" ref="C55:J55" si="19">C25</f>
        <v>0</v>
      </c>
      <c r="D55" s="162">
        <f t="shared" si="19"/>
        <v>0</v>
      </c>
      <c r="E55" s="170">
        <f t="shared" si="19"/>
        <v>0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>
        <f t="shared" si="19"/>
        <v>0</v>
      </c>
      <c r="J55" s="170" t="e">
        <f t="shared" si="19"/>
        <v>#DIV/0!</v>
      </c>
    </row>
    <row r="56" spans="2:10">
      <c r="B56" s="13">
        <v>6</v>
      </c>
      <c r="C56" s="162">
        <f t="shared" ref="C56:J56" si="20">C26</f>
        <v>0</v>
      </c>
      <c r="D56" s="162">
        <f t="shared" si="20"/>
        <v>0</v>
      </c>
      <c r="E56" s="170">
        <f t="shared" si="20"/>
        <v>0</v>
      </c>
      <c r="F56" s="170">
        <f t="shared" si="20"/>
        <v>0</v>
      </c>
      <c r="G56" s="170">
        <f t="shared" si="20"/>
        <v>0</v>
      </c>
      <c r="H56" s="170" t="e">
        <f t="shared" si="20"/>
        <v>#DIV/0!</v>
      </c>
      <c r="I56" s="170">
        <f t="shared" si="20"/>
        <v>0</v>
      </c>
      <c r="J56" s="170" t="e">
        <f t="shared" si="20"/>
        <v>#DIV/0!</v>
      </c>
    </row>
    <row r="57" spans="2:10">
      <c r="B57" s="13">
        <v>7</v>
      </c>
      <c r="C57" s="162">
        <f t="shared" ref="C57:J57" si="21">C27</f>
        <v>0</v>
      </c>
      <c r="D57" s="162">
        <f t="shared" si="21"/>
        <v>0</v>
      </c>
      <c r="E57" s="170">
        <f t="shared" si="21"/>
        <v>0</v>
      </c>
      <c r="F57" s="170">
        <f t="shared" si="21"/>
        <v>0</v>
      </c>
      <c r="G57" s="170">
        <f t="shared" si="21"/>
        <v>0</v>
      </c>
      <c r="H57" s="170" t="e">
        <f t="shared" si="21"/>
        <v>#DIV/0!</v>
      </c>
      <c r="I57" s="170">
        <f t="shared" si="21"/>
        <v>0</v>
      </c>
      <c r="J57" s="170" t="e">
        <f t="shared" si="21"/>
        <v>#DIV/0!</v>
      </c>
    </row>
    <row r="58" spans="2:10">
      <c r="B58" s="13">
        <v>8</v>
      </c>
      <c r="C58" s="162">
        <f t="shared" ref="C58:J58" si="22">C28</f>
        <v>0</v>
      </c>
      <c r="D58" s="162">
        <f t="shared" si="22"/>
        <v>0</v>
      </c>
      <c r="E58" s="170">
        <f t="shared" si="22"/>
        <v>0</v>
      </c>
      <c r="F58" s="170">
        <f t="shared" si="22"/>
        <v>0</v>
      </c>
      <c r="G58" s="170">
        <f t="shared" si="22"/>
        <v>0</v>
      </c>
      <c r="H58" s="170" t="e">
        <f t="shared" si="22"/>
        <v>#DIV/0!</v>
      </c>
      <c r="I58" s="170">
        <f t="shared" si="22"/>
        <v>0</v>
      </c>
      <c r="J58" s="170" t="e">
        <f t="shared" si="22"/>
        <v>#DIV/0!</v>
      </c>
    </row>
    <row r="59" spans="2:10">
      <c r="B59" s="115" t="s">
        <v>213</v>
      </c>
      <c r="C59" s="164"/>
      <c r="D59" s="164"/>
      <c r="E59" s="165" t="e">
        <f>SUM(E43:E58)</f>
        <v>#DIV/0!</v>
      </c>
      <c r="F59" s="172"/>
      <c r="G59" s="165" t="e">
        <f>SUM(G43:G58)</f>
        <v>#DIV/0!</v>
      </c>
      <c r="H59" s="165" t="e">
        <f>G59/E59</f>
        <v>#DIV/0!</v>
      </c>
      <c r="I59" s="177"/>
      <c r="J59" s="171" t="e">
        <f>SUM(J43:J58)</f>
        <v>#DIV/0!</v>
      </c>
    </row>
  </sheetData>
  <mergeCells count="2">
    <mergeCell ref="B51:B52"/>
    <mergeCell ref="B53:B5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C3" sqref="C3"/>
    </sheetView>
  </sheetViews>
  <sheetFormatPr baseColWidth="10" defaultRowHeight="14" x14ac:dyDescent="0"/>
  <sheetData>
    <row r="2" spans="1:8" ht="17">
      <c r="B2" s="2" t="s">
        <v>29</v>
      </c>
      <c r="C2" s="2" t="s">
        <v>30</v>
      </c>
      <c r="D2" s="2" t="s">
        <v>83</v>
      </c>
      <c r="E2" s="2" t="s">
        <v>84</v>
      </c>
      <c r="F2" s="2" t="s">
        <v>7</v>
      </c>
      <c r="G2" s="51" t="s">
        <v>85</v>
      </c>
    </row>
    <row r="3" spans="1:8">
      <c r="B3" s="7">
        <f>données!N3</f>
        <v>0</v>
      </c>
      <c r="C3" s="7" t="e">
        <f>raidisseur!E27</f>
        <v>#DIV/0!</v>
      </c>
      <c r="D3" s="3">
        <f>données!C37/2+données!C38+données!C39+données!C40+données!C41+données!C42+données!C43/2</f>
        <v>0</v>
      </c>
      <c r="E3" s="3">
        <f>données!C41/2+données!C42+données!C43/2</f>
        <v>0</v>
      </c>
      <c r="F3" s="3">
        <v>5</v>
      </c>
      <c r="G3" s="73" t="e">
        <f>données!$E$3*(données!C11*F3^2/12+(F3/2)^2*2*largeur_eff_ame!C6)</f>
        <v>#DIV/0!</v>
      </c>
    </row>
    <row r="5" spans="1:8" ht="17">
      <c r="B5" s="2" t="s">
        <v>86</v>
      </c>
    </row>
    <row r="6" spans="1:8">
      <c r="B6" s="3" t="e">
        <f>5.34+2.1/données!E3*(G3/D3)^(1/3)</f>
        <v>#DIV/0!</v>
      </c>
    </row>
    <row r="8" spans="1:8" ht="17">
      <c r="A8" s="1" t="s">
        <v>87</v>
      </c>
      <c r="B8" s="2" t="s">
        <v>88</v>
      </c>
      <c r="C8" s="1" t="s">
        <v>89</v>
      </c>
    </row>
    <row r="9" spans="1:8">
      <c r="A9" s="3" t="e">
        <f>G3</f>
        <v>#DIV/0!</v>
      </c>
      <c r="B9" s="3" t="e">
        <f>0.346*D3/données!E3*(5.34/eff_tranchant!B6*données!G3/données!H3)^0.5</f>
        <v>#DIV/0!</v>
      </c>
      <c r="C9" s="3" t="e">
        <f>0.346*E3/données!E3*(données!G3/données!H3)^0.5</f>
        <v>#DIV/0!</v>
      </c>
    </row>
    <row r="11" spans="1:8">
      <c r="B11" s="82" t="s">
        <v>90</v>
      </c>
    </row>
    <row r="12" spans="1:8" ht="16">
      <c r="A12" s="42" t="s">
        <v>91</v>
      </c>
      <c r="B12" s="55" t="s">
        <v>92</v>
      </c>
      <c r="C12" s="1" t="s">
        <v>93</v>
      </c>
      <c r="D12" s="1" t="s">
        <v>93</v>
      </c>
      <c r="E12" s="1" t="s">
        <v>94</v>
      </c>
      <c r="G12" s="1" t="s">
        <v>95</v>
      </c>
    </row>
    <row r="13" spans="1:8">
      <c r="A13" s="1">
        <v>1</v>
      </c>
      <c r="B13" s="55" t="e">
        <f>0.67*données!G3/B9^2</f>
        <v>#DIV/0!</v>
      </c>
      <c r="C13" s="3" t="e">
        <f>B3/SIN(données!D3)*données!E3*B13/A13</f>
        <v>#DIV/0!</v>
      </c>
      <c r="D13" s="3" t="e">
        <f>C13/0.124</f>
        <v>#DIV/0!</v>
      </c>
      <c r="E13" s="3" t="e">
        <f>D13/1000</f>
        <v>#DIV/0!</v>
      </c>
      <c r="F13" s="52" t="s">
        <v>75</v>
      </c>
      <c r="G13" s="53" t="e">
        <f>#REF!/2</f>
        <v>#REF!</v>
      </c>
      <c r="H13" s="54" t="e">
        <f>0.5*E13</f>
        <v>#DIV/0!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16" zoomScale="150" zoomScaleNormal="150" zoomScalePageLayoutView="150" workbookViewId="0">
      <selection activeCell="C3" sqref="C3"/>
    </sheetView>
  </sheetViews>
  <sheetFormatPr baseColWidth="10" defaultRowHeight="14" x14ac:dyDescent="0"/>
  <sheetData>
    <row r="1" spans="1:13">
      <c r="A1" s="56"/>
      <c r="B1" s="56"/>
      <c r="C1" s="56"/>
      <c r="D1" s="56"/>
      <c r="E1" s="56"/>
      <c r="F1" s="56"/>
      <c r="G1" s="56"/>
      <c r="H1" s="56"/>
      <c r="I1" s="56"/>
      <c r="J1" s="56"/>
      <c r="K1" s="8"/>
      <c r="L1" s="8"/>
      <c r="M1" s="8"/>
    </row>
    <row r="2" spans="1:13" ht="17">
      <c r="A2" s="56"/>
      <c r="B2" s="57" t="s">
        <v>18</v>
      </c>
      <c r="C2" s="57" t="s">
        <v>19</v>
      </c>
      <c r="D2" s="57" t="s">
        <v>20</v>
      </c>
      <c r="E2" s="57" t="s">
        <v>0</v>
      </c>
      <c r="F2" s="57" t="s">
        <v>21</v>
      </c>
      <c r="G2" s="57" t="s">
        <v>2</v>
      </c>
      <c r="H2" s="57" t="s">
        <v>101</v>
      </c>
      <c r="I2" s="57" t="s">
        <v>29</v>
      </c>
      <c r="J2" s="58" t="s">
        <v>97</v>
      </c>
      <c r="K2" s="8"/>
      <c r="L2" s="8"/>
      <c r="M2" s="8"/>
    </row>
    <row r="3" spans="1:13">
      <c r="A3" s="57"/>
      <c r="B3" s="57">
        <f>données!B3</f>
        <v>0</v>
      </c>
      <c r="C3" s="59"/>
      <c r="D3" s="59"/>
      <c r="E3" s="60">
        <f>données!E3</f>
        <v>0</v>
      </c>
      <c r="F3" s="60">
        <f>données!G3</f>
        <v>0</v>
      </c>
      <c r="G3" s="59">
        <v>210000</v>
      </c>
      <c r="H3" s="59">
        <f>data!C14</f>
        <v>0</v>
      </c>
      <c r="I3" s="59">
        <f>données!D15</f>
        <v>0</v>
      </c>
      <c r="J3" s="59">
        <f>B3/PI()*180</f>
        <v>0</v>
      </c>
      <c r="K3" s="8"/>
      <c r="L3" s="8"/>
      <c r="M3" s="8"/>
    </row>
    <row r="4" spans="1:13">
      <c r="A4" s="56"/>
      <c r="B4" s="56"/>
      <c r="C4" s="56"/>
      <c r="D4" s="56"/>
      <c r="E4" s="56"/>
      <c r="F4" s="56"/>
      <c r="G4" s="56"/>
      <c r="H4" s="56"/>
      <c r="I4" s="56"/>
      <c r="J4" s="56"/>
      <c r="K4" s="8"/>
      <c r="L4" s="8"/>
      <c r="M4" s="8"/>
    </row>
    <row r="5" spans="1:13" ht="17">
      <c r="A5" s="56"/>
      <c r="B5" s="57" t="s">
        <v>14</v>
      </c>
      <c r="C5" s="57" t="s">
        <v>56</v>
      </c>
      <c r="D5" s="57" t="s">
        <v>54</v>
      </c>
      <c r="E5" s="57" t="s">
        <v>55</v>
      </c>
      <c r="F5" s="56"/>
      <c r="G5" s="56"/>
      <c r="H5" s="56"/>
      <c r="I5" s="61"/>
      <c r="J5" s="61"/>
    </row>
    <row r="6" spans="1:13">
      <c r="A6" s="56"/>
      <c r="B6" s="57">
        <v>1</v>
      </c>
      <c r="C6" s="59">
        <f>données!C6</f>
        <v>0</v>
      </c>
      <c r="D6" s="59"/>
      <c r="E6" s="59"/>
      <c r="F6" s="56"/>
      <c r="G6" s="56"/>
      <c r="H6" s="56"/>
      <c r="I6" s="61"/>
      <c r="J6" s="61"/>
    </row>
    <row r="7" spans="1:13">
      <c r="A7" s="56"/>
      <c r="B7" s="57">
        <v>2</v>
      </c>
      <c r="C7" s="59">
        <f>données!C7</f>
        <v>0</v>
      </c>
      <c r="D7" s="59"/>
      <c r="E7" s="59"/>
      <c r="F7" s="56"/>
      <c r="G7" s="56"/>
      <c r="H7" s="56"/>
      <c r="I7" s="61"/>
      <c r="J7" s="61"/>
    </row>
    <row r="8" spans="1:13">
      <c r="A8" s="56"/>
      <c r="B8" s="57">
        <v>3</v>
      </c>
      <c r="C8" s="59">
        <f>données!C8</f>
        <v>0</v>
      </c>
      <c r="D8" s="59"/>
      <c r="E8" s="59"/>
      <c r="F8" s="56"/>
      <c r="G8" s="56"/>
      <c r="H8" s="56"/>
      <c r="I8" s="61"/>
      <c r="J8" s="61"/>
    </row>
    <row r="9" spans="1:13">
      <c r="A9" s="56"/>
      <c r="B9" s="57">
        <v>4</v>
      </c>
      <c r="C9" s="59">
        <f>données!C9</f>
        <v>0</v>
      </c>
      <c r="D9" s="59"/>
      <c r="E9" s="59"/>
      <c r="F9" s="56"/>
      <c r="G9" s="56"/>
      <c r="H9" s="56"/>
      <c r="I9" s="61"/>
      <c r="J9" s="61"/>
    </row>
    <row r="10" spans="1:13">
      <c r="A10" s="56"/>
      <c r="B10" s="57">
        <v>5</v>
      </c>
      <c r="C10" s="59">
        <f>données!C10</f>
        <v>0</v>
      </c>
      <c r="D10" s="59"/>
      <c r="E10" s="59"/>
      <c r="F10" s="56"/>
      <c r="G10" s="56"/>
      <c r="H10" s="56"/>
      <c r="I10" s="61"/>
      <c r="J10" s="61"/>
    </row>
    <row r="11" spans="1:13">
      <c r="A11" s="56"/>
      <c r="B11" s="57">
        <v>6</v>
      </c>
      <c r="C11" s="59">
        <f>données!C11</f>
        <v>0</v>
      </c>
      <c r="D11" s="59"/>
      <c r="E11" s="59"/>
      <c r="F11" s="56"/>
      <c r="G11" s="56"/>
      <c r="H11" s="56"/>
      <c r="I11" s="61"/>
      <c r="J11" s="61"/>
    </row>
    <row r="12" spans="1:13">
      <c r="A12" s="56"/>
      <c r="B12" s="57">
        <v>7</v>
      </c>
      <c r="C12" s="59">
        <f>données!C12</f>
        <v>0</v>
      </c>
      <c r="D12" s="59"/>
      <c r="E12" s="59"/>
      <c r="F12" s="56"/>
      <c r="G12" s="56"/>
      <c r="H12" s="56"/>
      <c r="I12" s="61"/>
      <c r="J12" s="61"/>
    </row>
    <row r="13" spans="1:13">
      <c r="A13" s="56"/>
      <c r="B13" s="62">
        <v>8</v>
      </c>
      <c r="C13" s="59">
        <f>données!C13</f>
        <v>0</v>
      </c>
      <c r="D13" s="59"/>
      <c r="E13" s="59"/>
      <c r="F13" s="56"/>
      <c r="G13" s="56"/>
      <c r="H13" s="56"/>
      <c r="I13" s="61"/>
      <c r="J13" s="61"/>
    </row>
    <row r="14" spans="1:13">
      <c r="A14" s="56"/>
      <c r="B14" s="62">
        <v>9</v>
      </c>
      <c r="C14" s="59"/>
      <c r="D14" s="59"/>
      <c r="E14" s="59"/>
      <c r="F14" s="56"/>
      <c r="G14" s="56"/>
      <c r="H14" s="56"/>
      <c r="I14" s="61"/>
      <c r="J14" s="61"/>
    </row>
    <row r="15" spans="1:13">
      <c r="A15" s="56"/>
      <c r="B15" s="56"/>
      <c r="C15" s="56"/>
      <c r="D15" s="63"/>
      <c r="E15" s="63"/>
      <c r="F15" s="56"/>
      <c r="G15" s="56"/>
      <c r="H15" s="56"/>
      <c r="I15" s="61"/>
      <c r="J15" s="61"/>
    </row>
    <row r="16" spans="1:1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8"/>
      <c r="L16" s="8"/>
      <c r="M16" s="8"/>
    </row>
    <row r="17" spans="1: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8"/>
      <c r="L17" s="8"/>
      <c r="M17" s="8"/>
    </row>
    <row r="18" spans="1:15" ht="17">
      <c r="B18" s="59" t="s">
        <v>98</v>
      </c>
      <c r="C18" s="89" t="s">
        <v>126</v>
      </c>
      <c r="D18" s="59" t="s">
        <v>102</v>
      </c>
      <c r="E18" s="90" t="s">
        <v>127</v>
      </c>
      <c r="F18" s="56" t="s">
        <v>128</v>
      </c>
      <c r="G18" s="56"/>
      <c r="H18" s="56"/>
      <c r="I18" s="56"/>
      <c r="J18" s="56"/>
      <c r="K18" s="8"/>
      <c r="L18" s="8"/>
      <c r="M18" s="8"/>
    </row>
    <row r="19" spans="1:15">
      <c r="B19" s="59" t="e">
        <f>H3/E3</f>
        <v>#DIV/0!</v>
      </c>
      <c r="C19" s="59" t="e">
        <f>I3/E3</f>
        <v>#DIV/0!</v>
      </c>
      <c r="D19" s="59">
        <f>200*SIN(J3*PI()/180)</f>
        <v>0</v>
      </c>
      <c r="E19" s="56">
        <v>40</v>
      </c>
      <c r="F19" s="56">
        <f>1.5*I3</f>
        <v>0</v>
      </c>
      <c r="G19" s="56"/>
      <c r="H19" s="56"/>
      <c r="I19" s="56"/>
      <c r="J19" s="56"/>
      <c r="K19" s="8"/>
      <c r="L19" s="8"/>
      <c r="M19" s="8"/>
    </row>
    <row r="20" spans="1: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8"/>
      <c r="L20" s="8"/>
      <c r="M20" s="8"/>
    </row>
    <row r="21" spans="1:15">
      <c r="A21" s="56"/>
      <c r="B21" s="64"/>
      <c r="C21" s="64"/>
      <c r="D21" s="64"/>
      <c r="E21" s="56"/>
      <c r="F21" s="56"/>
      <c r="G21" s="56"/>
      <c r="H21" s="56"/>
      <c r="I21" s="56"/>
      <c r="J21" s="56"/>
      <c r="K21" s="8"/>
      <c r="L21" s="8"/>
      <c r="M21" s="8"/>
    </row>
    <row r="22" spans="1:15">
      <c r="A22" s="56"/>
      <c r="B22" s="56"/>
      <c r="C22" s="56"/>
      <c r="D22" s="56"/>
      <c r="E22" s="56"/>
      <c r="F22" s="56"/>
      <c r="G22" s="56"/>
      <c r="H22" s="56"/>
      <c r="I22" s="92" t="s">
        <v>106</v>
      </c>
      <c r="J22" s="56"/>
      <c r="K22" s="8"/>
      <c r="L22" s="8"/>
      <c r="M22" s="8"/>
    </row>
    <row r="23" spans="1:15" ht="17">
      <c r="A23" s="56"/>
      <c r="B23" s="57" t="s">
        <v>103</v>
      </c>
      <c r="C23" s="65" t="s">
        <v>10</v>
      </c>
      <c r="D23" s="57" t="s">
        <v>104</v>
      </c>
      <c r="E23" s="57" t="s">
        <v>131</v>
      </c>
      <c r="F23" s="86" t="s">
        <v>122</v>
      </c>
      <c r="G23" s="86" t="s">
        <v>123</v>
      </c>
      <c r="H23" s="88" t="s">
        <v>124</v>
      </c>
      <c r="I23" s="93" t="s">
        <v>130</v>
      </c>
      <c r="J23" s="57" t="s">
        <v>105</v>
      </c>
      <c r="K23" s="57" t="s">
        <v>125</v>
      </c>
      <c r="L23" s="8"/>
      <c r="M23" s="8"/>
    </row>
    <row r="24" spans="1:15">
      <c r="A24" s="57" t="s">
        <v>99</v>
      </c>
      <c r="B24" s="91">
        <v>10</v>
      </c>
      <c r="C24" s="57">
        <v>7.4999999999999997E-2</v>
      </c>
      <c r="D24" s="57">
        <v>1</v>
      </c>
      <c r="E24" s="66" t="e">
        <f>C24*$E$3^2*($F$3*$G$3)^0.5*(1-0.1*$B$19^0.5)*(0.5+(0.02*B24/$E$3)^0.5)*(2.4+($J$3/90)^2)/D24</f>
        <v>#DIV/0!</v>
      </c>
      <c r="F24" s="95"/>
      <c r="G24" s="95"/>
      <c r="H24" s="87"/>
      <c r="I24" s="94"/>
      <c r="J24" s="139" t="e">
        <f>E24/données!$M$3*2*1000</f>
        <v>#DIV/0!</v>
      </c>
      <c r="K24" s="66" t="e">
        <f>J24/1000</f>
        <v>#DIV/0!</v>
      </c>
      <c r="L24" s="8"/>
      <c r="M24" s="8" t="e">
        <f>0.95+35000*$E$3^2*$G$24/((données!$C$44*2)^2)/données!$C$42</f>
        <v>#DIV/0!</v>
      </c>
      <c r="O24" t="e">
        <f>F24/E3</f>
        <v>#DIV/0!</v>
      </c>
    </row>
    <row r="25" spans="1:15">
      <c r="A25" s="57" t="s">
        <v>100</v>
      </c>
      <c r="B25" s="67">
        <v>160</v>
      </c>
      <c r="C25" s="57">
        <v>0.15</v>
      </c>
      <c r="D25" s="57">
        <v>1</v>
      </c>
      <c r="E25" s="66" t="e">
        <f>C25*$E$3^2*($F$3*$G$3)^0.5*(1-0.1*$B$19^0.5)*(0.5+(0.02*B25/$E$3)^0.5)*(2.4+($J$3/90)^2)/D25</f>
        <v>#DIV/0!</v>
      </c>
      <c r="F25" s="87"/>
      <c r="G25" s="87"/>
      <c r="H25" s="87"/>
      <c r="I25" s="94"/>
      <c r="J25" s="59" t="e">
        <f>E25/données!$M$3*2*1000</f>
        <v>#DIV/0!</v>
      </c>
      <c r="K25" s="66" t="e">
        <f t="shared" ref="K25:K26" si="0">J25/1000</f>
        <v>#DIV/0!</v>
      </c>
      <c r="L25" s="8"/>
      <c r="M25" s="8" t="e">
        <f>0.95+35000*$E$3^2*$G$24/((données!$C$44*2)^2)/données!$C$42</f>
        <v>#DIV/0!</v>
      </c>
    </row>
    <row r="26" spans="1:15">
      <c r="A26" s="57" t="s">
        <v>100</v>
      </c>
      <c r="B26" s="67">
        <v>60</v>
      </c>
      <c r="C26" s="57">
        <v>0.15</v>
      </c>
      <c r="D26" s="57">
        <v>1</v>
      </c>
      <c r="E26" s="66" t="e">
        <f>C26*$E$3^2*($F$3*$G$3)^0.5*(1-0.1*$B$19^0.5)*(0.5+(0.02*B26/$E$3)^0.5)*(2.4+($J$3/90)^2)/D26</f>
        <v>#DIV/0!</v>
      </c>
      <c r="F26" s="87"/>
      <c r="G26" s="87"/>
      <c r="H26" s="87"/>
      <c r="I26" s="94"/>
      <c r="J26" s="59" t="e">
        <f>E26/données!$M$3*2*1000</f>
        <v>#DIV/0!</v>
      </c>
      <c r="K26" s="66" t="e">
        <f t="shared" si="0"/>
        <v>#DIV/0!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7" zoomScale="150" zoomScaleNormal="150" zoomScalePageLayoutView="150" workbookViewId="0">
      <selection activeCell="C3" sqref="C3"/>
    </sheetView>
  </sheetViews>
  <sheetFormatPr baseColWidth="10" defaultRowHeight="14" x14ac:dyDescent="0"/>
  <cols>
    <col min="1" max="1" width="19.83203125" customWidth="1"/>
    <col min="2" max="2" width="10.83203125" customWidth="1"/>
    <col min="3" max="4" width="18.33203125" customWidth="1"/>
  </cols>
  <sheetData>
    <row r="2" spans="1:4">
      <c r="A2" s="178"/>
      <c r="B2" s="34"/>
      <c r="C2" s="1" t="s">
        <v>219</v>
      </c>
      <c r="D2" s="1" t="s">
        <v>185</v>
      </c>
    </row>
    <row r="3" spans="1:4" ht="17">
      <c r="A3" s="140" t="s">
        <v>186</v>
      </c>
      <c r="B3" s="144" t="s">
        <v>187</v>
      </c>
      <c r="C3" s="187" t="e">
        <f>'largeur_eff_semelle (2)'!$J5</f>
        <v>#DIV/0!</v>
      </c>
      <c r="D3" s="1" t="e">
        <f>'largeur_eff_semelle (3)'!$J5</f>
        <v>#DIV/0!</v>
      </c>
    </row>
    <row r="4" spans="1:4">
      <c r="A4" s="141"/>
      <c r="B4" s="145" t="s">
        <v>188</v>
      </c>
      <c r="C4" s="1" t="e">
        <f>'largeur_eff_semelle bis (2)'!$M10</f>
        <v>#DIV/0!</v>
      </c>
      <c r="D4" s="1" t="e">
        <f>'largeur_eff_semelle bis (3)'!$M10</f>
        <v>#DIV/0!</v>
      </c>
    </row>
    <row r="5" spans="1:4" ht="15">
      <c r="A5" s="141"/>
      <c r="B5" s="146" t="s">
        <v>189</v>
      </c>
      <c r="C5" s="3" t="e">
        <f>'largeur_eff_semelle bis (2)'!$O10</f>
        <v>#DIV/0!</v>
      </c>
      <c r="D5" s="3" t="e">
        <f>'largeur_eff_semelle bis (3)'!$O10</f>
        <v>#DIV/0!</v>
      </c>
    </row>
    <row r="6" spans="1:4">
      <c r="A6" s="141"/>
      <c r="B6" s="145" t="s">
        <v>190</v>
      </c>
      <c r="C6" s="1" t="e">
        <f>'largeur_eff_semelle bis (2)'!$M5</f>
        <v>#DIV/0!</v>
      </c>
      <c r="D6" s="1" t="e">
        <f>'largeur_eff_semelle bis (3)'!$M5</f>
        <v>#DIV/0!</v>
      </c>
    </row>
    <row r="7" spans="1:4" ht="15">
      <c r="A7" s="143"/>
      <c r="B7" s="146" t="s">
        <v>191</v>
      </c>
      <c r="C7" s="3" t="e">
        <f>'largeur_eff_semelle bis (2)'!$O5</f>
        <v>#DIV/0!</v>
      </c>
      <c r="D7" s="3" t="e">
        <f>'largeur_eff_semelle bis (3)'!$O5</f>
        <v>#DIV/0!</v>
      </c>
    </row>
    <row r="8" spans="1:4" ht="16">
      <c r="A8" s="140" t="s">
        <v>192</v>
      </c>
      <c r="B8" s="147" t="s">
        <v>193</v>
      </c>
      <c r="C8" s="142" t="e">
        <f>'raidisseur (2bis)'!$B30</f>
        <v>#DIV/0!</v>
      </c>
      <c r="D8" s="142" t="e">
        <f>'raidisseur (3bis)'!$B30</f>
        <v>#DIV/0!</v>
      </c>
    </row>
    <row r="9" spans="1:4" ht="16">
      <c r="A9" s="141"/>
      <c r="B9" s="173" t="s">
        <v>194</v>
      </c>
      <c r="C9" s="3" t="e">
        <f>'raidisseur (2bis)'!$B36</f>
        <v>#DIV/0!</v>
      </c>
      <c r="D9" s="3" t="e">
        <f>'raidisseur (3bis)'!$B36</f>
        <v>#DIV/0!</v>
      </c>
    </row>
    <row r="10" spans="1:4" ht="15">
      <c r="A10" s="143"/>
      <c r="B10" s="149" t="s">
        <v>215</v>
      </c>
      <c r="C10" s="3" t="e">
        <f>+'raidisseur (2bis)'!$C36</f>
        <v>#DIV/0!</v>
      </c>
      <c r="D10" s="3" t="e">
        <f>+'raidisseur (3bis)'!$C36</f>
        <v>#DIV/0!</v>
      </c>
    </row>
    <row r="11" spans="1:4" ht="15">
      <c r="A11" s="140" t="s">
        <v>195</v>
      </c>
      <c r="B11" s="148" t="s">
        <v>196</v>
      </c>
      <c r="C11" s="142" t="e">
        <f>'largeur_eff_ame (2)'!$G3</f>
        <v>#DIV/0!</v>
      </c>
      <c r="D11" s="142" t="e">
        <f>'largeur_eff_ame (3)'!$G3</f>
        <v>#DIV/0!</v>
      </c>
    </row>
    <row r="12" spans="1:4" ht="15">
      <c r="A12" s="141"/>
      <c r="B12" s="148" t="s">
        <v>197</v>
      </c>
      <c r="C12" s="142" t="e">
        <f>'largeur_eff_ame (2)'!$H3</f>
        <v>#DIV/0!</v>
      </c>
      <c r="D12" s="142" t="e">
        <f>'largeur_eff_ame (3)'!$H3</f>
        <v>#DIV/0!</v>
      </c>
    </row>
    <row r="13" spans="1:4" ht="15">
      <c r="A13" s="141"/>
      <c r="B13" s="149" t="s">
        <v>198</v>
      </c>
      <c r="C13" s="142" t="e">
        <f>'largeur_eff_ame (2)'!$B6</f>
        <v>#DIV/0!</v>
      </c>
      <c r="D13" s="142" t="e">
        <f>'largeur_eff_ame (3)'!$B6</f>
        <v>#DIV/0!</v>
      </c>
    </row>
    <row r="14" spans="1:4" ht="15">
      <c r="A14" s="141"/>
      <c r="B14" s="150" t="s">
        <v>199</v>
      </c>
      <c r="C14" s="142" t="e">
        <f>'largeur_eff_ame (2)'!$C6</f>
        <v>#DIV/0!</v>
      </c>
      <c r="D14" s="142" t="e">
        <f>'largeur_eff_ame (3)'!$C6</f>
        <v>#DIV/0!</v>
      </c>
    </row>
    <row r="15" spans="1:4" ht="15">
      <c r="A15" s="141"/>
      <c r="B15" s="149" t="s">
        <v>200</v>
      </c>
      <c r="C15" s="142" t="e">
        <f>'largeur_eff_ame (2)'!$D6</f>
        <v>#DIV/0!</v>
      </c>
      <c r="D15" s="142" t="e">
        <f>'largeur_eff_ame (3)'!$D6</f>
        <v>#DIV/0!</v>
      </c>
    </row>
    <row r="16" spans="1:4" ht="15">
      <c r="A16" s="141"/>
      <c r="B16" s="150" t="s">
        <v>201</v>
      </c>
      <c r="C16" s="142" t="e">
        <f>C14+C15</f>
        <v>#DIV/0!</v>
      </c>
      <c r="D16" s="142" t="e">
        <f>D14+D15</f>
        <v>#DIV/0!</v>
      </c>
    </row>
    <row r="17" spans="1:4">
      <c r="A17" s="141"/>
      <c r="B17" s="149"/>
      <c r="C17" s="1" t="s">
        <v>202</v>
      </c>
      <c r="D17" s="1" t="s">
        <v>202</v>
      </c>
    </row>
    <row r="18" spans="1:4" ht="15">
      <c r="A18" s="141"/>
      <c r="B18" s="150" t="s">
        <v>199</v>
      </c>
      <c r="C18" s="1" t="s">
        <v>207</v>
      </c>
      <c r="D18" s="1" t="s">
        <v>207</v>
      </c>
    </row>
    <row r="19" spans="1:4" ht="15">
      <c r="A19" s="141"/>
      <c r="B19" s="149" t="s">
        <v>200</v>
      </c>
      <c r="C19" s="1" t="s">
        <v>208</v>
      </c>
      <c r="D19" s="1" t="s">
        <v>208</v>
      </c>
    </row>
    <row r="20" spans="1:4" ht="15">
      <c r="A20" s="1" t="s">
        <v>203</v>
      </c>
      <c r="B20" s="148" t="s">
        <v>204</v>
      </c>
      <c r="C20" s="142" t="e">
        <f>'résistance_section (2)'!$E31</f>
        <v>#DIV/0!</v>
      </c>
      <c r="D20" s="142" t="e">
        <f>'résistance_section (3)'!$E31</f>
        <v>#DIV/0!</v>
      </c>
    </row>
    <row r="21" spans="1:4" ht="15">
      <c r="A21" s="1" t="s">
        <v>205</v>
      </c>
      <c r="B21" s="146" t="s">
        <v>206</v>
      </c>
      <c r="C21" s="142" t="e">
        <f>'résistance_section (2)'!$H31</f>
        <v>#DIV/0!</v>
      </c>
      <c r="D21" s="142" t="e">
        <f>'résistance_section (3)'!$H31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zoomScale="125" zoomScaleNormal="125" zoomScalePageLayoutView="125" workbookViewId="0">
      <selection activeCell="F27" sqref="F27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9.6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138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D5*(données!$J$30-données!$L$45)/données!$L$45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38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11" t="e">
        <f>D10*(données!$J$30-données!$L$45)/données!$L$45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opLeftCell="A28" zoomScale="150" zoomScaleNormal="150" zoomScalePageLayoutView="150" workbookViewId="0">
      <selection activeCell="C3" sqref="C3"/>
    </sheetView>
  </sheetViews>
  <sheetFormatPr baseColWidth="10" defaultRowHeight="14" x14ac:dyDescent="0"/>
  <cols>
    <col min="1" max="1" width="9.5" customWidth="1"/>
    <col min="2" max="2" width="25.5" customWidth="1"/>
    <col min="3" max="3" width="7.6640625" bestFit="1" customWidth="1"/>
    <col min="4" max="4" width="8.33203125" bestFit="1" customWidth="1"/>
    <col min="5" max="5" width="7.5" customWidth="1"/>
    <col min="6" max="6" width="7.83203125" customWidth="1"/>
    <col min="7" max="7" width="10.33203125" bestFit="1" customWidth="1"/>
    <col min="8" max="8" width="5.83203125" customWidth="1"/>
    <col min="9" max="9" width="8.6640625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largeur_eff_semelle!B5</f>
        <v>0</v>
      </c>
      <c r="E3" s="7">
        <f>largeur_eff_semelle!B10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MIN(15*F$3,0.5*E3)-données!I19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8"/>
      <c r="D14" s="18"/>
      <c r="E14" s="18"/>
      <c r="F14" s="18"/>
      <c r="G14" s="18"/>
      <c r="H14" s="19"/>
      <c r="I14" s="19"/>
      <c r="J14" s="19"/>
      <c r="K14" s="8"/>
      <c r="L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largeur_eff_semelle!O10-données!I19</f>
        <v>#DIV/0!</v>
      </c>
      <c r="D16" s="14" t="e">
        <f>C16*$F$3</f>
        <v>#DIV/0!</v>
      </c>
      <c r="E16" s="14"/>
      <c r="F16" s="14"/>
      <c r="G16" s="15"/>
      <c r="H16" s="15"/>
      <c r="I16" s="12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4" t="e">
        <f>largeur_eff_semelle!O5-données!I19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8"/>
      <c r="D24" s="18"/>
      <c r="E24" s="18"/>
      <c r="F24" s="18"/>
      <c r="G24" s="18"/>
      <c r="H24" s="19"/>
      <c r="I24" s="19"/>
      <c r="J24" s="19"/>
      <c r="K24" s="8"/>
      <c r="L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159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15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9">
      <c r="B33" s="6">
        <f>données!G3</f>
        <v>0</v>
      </c>
      <c r="C33" s="7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9" ht="17">
      <c r="B35" s="7" t="s">
        <v>11</v>
      </c>
      <c r="C35" s="13" t="s">
        <v>58</v>
      </c>
      <c r="E35" t="s">
        <v>134</v>
      </c>
    </row>
    <row r="36" spans="2:9">
      <c r="B36" s="78" t="e">
        <f>E33</f>
        <v>#DIV/0!</v>
      </c>
      <c r="C36" s="105" t="e">
        <f>B36*données!E3*B33/largeur_eff_semelle!K5/largeur_eff_semelle!J5</f>
        <v>#DIV/0!</v>
      </c>
      <c r="E36" t="e">
        <f>B33/largeur_eff_semelle!K5/largeur_eff_semelle!J5</f>
        <v>#DIV/0!</v>
      </c>
      <c r="G36" t="e">
        <f>B36*E36</f>
        <v>#DIV/0!</v>
      </c>
    </row>
    <row r="40" spans="2:9" ht="17">
      <c r="B40" s="2" t="s">
        <v>14</v>
      </c>
      <c r="C40" s="13" t="s">
        <v>214</v>
      </c>
      <c r="D40" s="13" t="s">
        <v>49</v>
      </c>
      <c r="E40" s="13"/>
      <c r="F40" s="13"/>
      <c r="G40" s="13"/>
      <c r="H40" s="22"/>
      <c r="I40" s="13"/>
    </row>
    <row r="41" spans="2:9" ht="17">
      <c r="B41" s="151" t="s">
        <v>227</v>
      </c>
      <c r="C41" s="160" t="e">
        <f>C16</f>
        <v>#DIV/0!</v>
      </c>
      <c r="D41" s="154" t="e">
        <f>D16</f>
        <v>#DIV/0!</v>
      </c>
      <c r="E41" s="153"/>
      <c r="F41" s="153"/>
      <c r="G41" s="153"/>
      <c r="H41" s="152"/>
      <c r="I41" s="152"/>
    </row>
    <row r="42" spans="2:9">
      <c r="B42" s="151">
        <v>2</v>
      </c>
      <c r="C42" s="160">
        <f>C18</f>
        <v>0</v>
      </c>
      <c r="D42" s="154">
        <f>D18</f>
        <v>0</v>
      </c>
      <c r="E42" s="153"/>
      <c r="F42" s="153"/>
      <c r="G42" s="153"/>
      <c r="H42" s="152"/>
      <c r="I42" s="152"/>
    </row>
    <row r="43" spans="2:9">
      <c r="B43" s="151" t="s">
        <v>210</v>
      </c>
      <c r="C43" s="160">
        <f>C9</f>
        <v>0</v>
      </c>
      <c r="D43" s="154">
        <f>D9</f>
        <v>0</v>
      </c>
      <c r="E43" s="153"/>
      <c r="F43" s="153"/>
      <c r="G43" s="153"/>
      <c r="H43" s="152"/>
      <c r="I43" s="152"/>
    </row>
    <row r="44" spans="2:9">
      <c r="B44" s="151">
        <v>3</v>
      </c>
      <c r="C44" s="160">
        <f>C20</f>
        <v>0</v>
      </c>
      <c r="D44" s="154">
        <f>D20</f>
        <v>0</v>
      </c>
      <c r="E44" s="153"/>
      <c r="F44" s="153"/>
      <c r="G44" s="153"/>
      <c r="H44" s="152"/>
      <c r="I44" s="152"/>
    </row>
    <row r="45" spans="2:9" ht="17">
      <c r="B45" s="151" t="s">
        <v>228</v>
      </c>
      <c r="C45" s="160" t="e">
        <f>C22</f>
        <v>#DIV/0!</v>
      </c>
      <c r="D45" s="160" t="e">
        <f>D22</f>
        <v>#DIV/0!</v>
      </c>
      <c r="E45" s="153"/>
      <c r="F45" s="153"/>
      <c r="G45" s="153"/>
      <c r="H45" s="152"/>
      <c r="I45" s="152"/>
    </row>
    <row r="46" spans="2:9">
      <c r="B46" s="114" t="s">
        <v>213</v>
      </c>
      <c r="D46" s="154" t="e">
        <f>SUM(D41:D45)</f>
        <v>#DIV/0!</v>
      </c>
      <c r="E46" s="156"/>
      <c r="F46" s="153"/>
      <c r="G46" s="157"/>
      <c r="H46" s="152"/>
      <c r="I46" s="152"/>
    </row>
    <row r="48" spans="2:9" ht="17">
      <c r="B48" s="2" t="s">
        <v>14</v>
      </c>
      <c r="C48" s="13" t="s">
        <v>214</v>
      </c>
      <c r="D48" s="13" t="s">
        <v>49</v>
      </c>
      <c r="E48" s="13" t="s">
        <v>47</v>
      </c>
      <c r="F48" s="13" t="s">
        <v>50</v>
      </c>
      <c r="G48" s="13" t="s">
        <v>48</v>
      </c>
      <c r="H48" s="22" t="s">
        <v>7</v>
      </c>
      <c r="I48" s="13" t="s">
        <v>51</v>
      </c>
    </row>
    <row r="49" spans="2:9" ht="17">
      <c r="B49" s="151" t="s">
        <v>229</v>
      </c>
      <c r="C49" s="160">
        <f>C6</f>
        <v>0</v>
      </c>
      <c r="D49" s="154">
        <f t="shared" ref="D49:I49" si="5">D6</f>
        <v>0</v>
      </c>
      <c r="E49" s="154">
        <f t="shared" si="5"/>
        <v>0</v>
      </c>
      <c r="F49" s="154">
        <f t="shared" si="5"/>
        <v>0</v>
      </c>
      <c r="G49" s="154" t="e">
        <f t="shared" si="5"/>
        <v>#DIV/0!</v>
      </c>
      <c r="H49" s="154">
        <f t="shared" si="5"/>
        <v>0</v>
      </c>
      <c r="I49" s="154" t="e">
        <f t="shared" si="5"/>
        <v>#DIV/0!</v>
      </c>
    </row>
    <row r="50" spans="2:9">
      <c r="B50" s="151">
        <v>2</v>
      </c>
      <c r="C50" s="160">
        <f>C8</f>
        <v>0</v>
      </c>
      <c r="D50" s="154">
        <f t="shared" ref="D50:I50" si="6">D8</f>
        <v>0</v>
      </c>
      <c r="E50" s="154">
        <f t="shared" si="6"/>
        <v>0</v>
      </c>
      <c r="F50" s="154">
        <f t="shared" si="6"/>
        <v>0</v>
      </c>
      <c r="G50" s="154" t="e">
        <f t="shared" si="6"/>
        <v>#DIV/0!</v>
      </c>
      <c r="H50" s="154">
        <f t="shared" si="6"/>
        <v>0</v>
      </c>
      <c r="I50" s="154" t="e">
        <f t="shared" si="6"/>
        <v>#DIV/0!</v>
      </c>
    </row>
    <row r="51" spans="2:9">
      <c r="B51" s="151" t="s">
        <v>210</v>
      </c>
      <c r="C51" s="160">
        <f t="shared" ref="C51:I52" si="7">C9</f>
        <v>0</v>
      </c>
      <c r="D51" s="154">
        <f t="shared" si="7"/>
        <v>0</v>
      </c>
      <c r="E51" s="154" t="e">
        <f t="shared" si="7"/>
        <v>#DIV/0!</v>
      </c>
      <c r="F51" s="154" t="e">
        <f t="shared" si="7"/>
        <v>#DIV/0!</v>
      </c>
      <c r="G51" s="154" t="e">
        <f t="shared" si="7"/>
        <v>#DIV/0!</v>
      </c>
      <c r="H51" s="154">
        <f t="shared" si="7"/>
        <v>0</v>
      </c>
      <c r="I51" s="154" t="e">
        <f t="shared" si="7"/>
        <v>#DIV/0!</v>
      </c>
    </row>
    <row r="52" spans="2:9">
      <c r="B52" s="151">
        <v>3</v>
      </c>
      <c r="C52" s="160">
        <f t="shared" si="7"/>
        <v>0</v>
      </c>
      <c r="D52" s="154">
        <f t="shared" si="7"/>
        <v>0</v>
      </c>
      <c r="E52" s="154">
        <f t="shared" si="7"/>
        <v>0</v>
      </c>
      <c r="F52" s="154">
        <f t="shared" si="7"/>
        <v>0</v>
      </c>
      <c r="G52" s="154" t="e">
        <f t="shared" si="7"/>
        <v>#DIV/0!</v>
      </c>
      <c r="H52" s="154">
        <f t="shared" si="7"/>
        <v>0</v>
      </c>
      <c r="I52" s="154" t="e">
        <f t="shared" si="7"/>
        <v>#DIV/0!</v>
      </c>
    </row>
    <row r="53" spans="2:9">
      <c r="B53" s="151" t="s">
        <v>230</v>
      </c>
      <c r="C53" s="160">
        <f>C12</f>
        <v>0</v>
      </c>
      <c r="D53" s="154">
        <f t="shared" ref="D53:I54" si="8">D12</f>
        <v>0</v>
      </c>
      <c r="E53" s="154">
        <f t="shared" si="8"/>
        <v>0</v>
      </c>
      <c r="F53" s="154">
        <f t="shared" si="8"/>
        <v>0</v>
      </c>
      <c r="G53" s="154" t="e">
        <f t="shared" si="8"/>
        <v>#DIV/0!</v>
      </c>
      <c r="H53" s="169">
        <f t="shared" si="8"/>
        <v>0</v>
      </c>
      <c r="I53" s="154" t="e">
        <f t="shared" si="8"/>
        <v>#DIV/0!</v>
      </c>
    </row>
    <row r="54" spans="2:9">
      <c r="B54" s="114" t="s">
        <v>213</v>
      </c>
      <c r="D54" s="154">
        <f>SUM(D49:D53)</f>
        <v>0</v>
      </c>
      <c r="E54" s="167"/>
      <c r="F54" s="154" t="e">
        <f t="shared" si="8"/>
        <v>#DIV/0!</v>
      </c>
      <c r="G54" s="180" t="e">
        <f>F54/D54</f>
        <v>#DIV/0!</v>
      </c>
      <c r="H54" s="169"/>
      <c r="I54" s="168" t="e">
        <f t="shared" si="8"/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topLeftCell="A4" zoomScale="150" zoomScaleNormal="150" zoomScalePageLayoutView="150" workbookViewId="0">
      <selection activeCell="C3" sqref="C3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9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7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37" t="e">
        <f>largeur_eff_semelle!J5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2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11" t="e">
        <f>D10*raidisseur!B36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opLeftCell="A16" workbookViewId="0">
      <selection activeCell="C3" sqref="C3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8.6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25</v>
      </c>
      <c r="C2" s="2" t="s">
        <v>26</v>
      </c>
      <c r="D2" s="2" t="s">
        <v>112</v>
      </c>
      <c r="E2" s="2" t="s">
        <v>113</v>
      </c>
      <c r="F2" s="2" t="s">
        <v>0</v>
      </c>
      <c r="G2" s="2" t="s">
        <v>2</v>
      </c>
      <c r="H2" s="10" t="s">
        <v>7</v>
      </c>
      <c r="I2" s="8"/>
      <c r="J2" s="8"/>
      <c r="K2" s="8"/>
      <c r="L2" s="8"/>
    </row>
    <row r="3" spans="1:18">
      <c r="B3" s="7">
        <f>données!C31/2+données!C32+données!C33+données!C34+données!C35/2</f>
        <v>0</v>
      </c>
      <c r="C3" s="7">
        <f>data!K14-2*données!I18</f>
        <v>0</v>
      </c>
      <c r="D3" s="7">
        <f>'largeur_eff_semelle bis'!B5</f>
        <v>0</v>
      </c>
      <c r="E3" s="7">
        <f>largeur_eff_semelle!B10</f>
        <v>0</v>
      </c>
      <c r="F3" s="2">
        <f>données!E3</f>
        <v>0</v>
      </c>
      <c r="G3" s="7">
        <f>données!H3</f>
        <v>0</v>
      </c>
      <c r="H3" s="12">
        <f>données!D8</f>
        <v>0</v>
      </c>
      <c r="I3" s="8"/>
      <c r="J3" s="8"/>
      <c r="K3" s="8"/>
      <c r="L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46</v>
      </c>
      <c r="D5" s="13" t="s">
        <v>49</v>
      </c>
      <c r="E5" s="13" t="s">
        <v>47</v>
      </c>
      <c r="F5" s="13" t="s">
        <v>50</v>
      </c>
      <c r="G5" s="13" t="s">
        <v>48</v>
      </c>
      <c r="H5" s="13" t="s">
        <v>7</v>
      </c>
      <c r="I5" s="13" t="s">
        <v>51</v>
      </c>
      <c r="J5" s="8"/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/>
    </row>
    <row r="6" spans="1:18" ht="17">
      <c r="A6" s="4"/>
      <c r="B6" s="13" t="s">
        <v>72</v>
      </c>
      <c r="C6" s="14">
        <f>MIN(15*F$3-données!I$19,0.5*E3)-données!I19</f>
        <v>0</v>
      </c>
      <c r="D6" s="14">
        <f>C6*$F$3</f>
        <v>0</v>
      </c>
      <c r="E6" s="14">
        <v>0</v>
      </c>
      <c r="F6" s="14">
        <f>D6*E6</f>
        <v>0</v>
      </c>
      <c r="G6" s="15" t="e">
        <f>$G$13-E6</f>
        <v>#DIV/0!</v>
      </c>
      <c r="H6" s="15">
        <f>données!M30</f>
        <v>0</v>
      </c>
      <c r="I6" s="7" t="e">
        <f>D6*H6^2/12+D6*G6^2</f>
        <v>#DIV/0!</v>
      </c>
      <c r="J6" s="8"/>
      <c r="K6" s="2" t="s">
        <v>44</v>
      </c>
      <c r="L6" s="2"/>
      <c r="M6" s="2" t="s">
        <v>45</v>
      </c>
      <c r="N6" s="2"/>
      <c r="O6" s="2" t="s">
        <v>107</v>
      </c>
      <c r="P6" s="2"/>
      <c r="Q6" s="2" t="s">
        <v>108</v>
      </c>
      <c r="R6" s="2"/>
    </row>
    <row r="7" spans="1:18">
      <c r="A7" s="4"/>
      <c r="B7" s="13">
        <v>2</v>
      </c>
      <c r="C7" s="14">
        <f>données!C31</f>
        <v>0</v>
      </c>
      <c r="D7" s="14">
        <f t="shared" ref="D7:D12" si="0">C7*$F$3</f>
        <v>0</v>
      </c>
      <c r="E7" s="14" t="e">
        <f>données!I27</f>
        <v>#DIV/0!</v>
      </c>
      <c r="F7" s="14" t="e">
        <f t="shared" ref="F7:F12" si="1">D7*E7</f>
        <v>#DIV/0!</v>
      </c>
      <c r="G7" s="15" t="e">
        <f t="shared" ref="G7:G12" si="2">$G$13-E7</f>
        <v>#DIV/0!</v>
      </c>
      <c r="H7" s="15">
        <f>données!M31</f>
        <v>0</v>
      </c>
      <c r="I7" s="6" t="e">
        <f>F3*données!I$3^3*((données!I$17+SIN(données!I$17)*COS(données!I$17))/2-SIN(données!I$17)^2/données!I$17)+D7*G7^2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6">
        <f>(données!I$18+données!I$19+données!C$32/2)*SIN(données!D$3)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données!C33</f>
        <v>0</v>
      </c>
      <c r="D9" s="14">
        <f t="shared" si="0"/>
        <v>0</v>
      </c>
      <c r="E9" s="16" t="e">
        <f>-données!I27/COS(données!D3)+données!D7</f>
        <v>#DIV/0!</v>
      </c>
      <c r="F9" s="14" t="e">
        <f t="shared" si="1"/>
        <v>#DIV/0!</v>
      </c>
      <c r="G9" s="15" t="e">
        <f t="shared" si="2"/>
        <v>#DIV/0!</v>
      </c>
      <c r="H9" s="15">
        <f>données!M33</f>
        <v>0</v>
      </c>
      <c r="I9" s="6" t="e">
        <f>F3*données!I$3^3*((données!L$17+SIN(données!L$17)*COS(données!L$17))/2-SIN(données!L$17)^2/données!L$17)+D9*G9^2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données!C34</f>
        <v>0</v>
      </c>
      <c r="D10" s="14">
        <f t="shared" si="0"/>
        <v>0</v>
      </c>
      <c r="E10" s="46">
        <f>(données!I$18+données!I$19+données!C$32/2)*SIN(données!D$3)</f>
        <v>0</v>
      </c>
      <c r="F10" s="14">
        <f t="shared" si="1"/>
        <v>0</v>
      </c>
      <c r="G10" s="15" t="e">
        <f t="shared" si="2"/>
        <v>#DIV/0!</v>
      </c>
      <c r="H10" s="15">
        <f>données!M34</f>
        <v>0</v>
      </c>
      <c r="I10" s="7" t="e">
        <f t="shared" ref="I10" si="3">D10*H10^2/12+D10*G10^2</f>
        <v>#DIV/0!</v>
      </c>
      <c r="J10" s="8"/>
      <c r="K10" s="8" t="s">
        <v>15</v>
      </c>
      <c r="L10" s="8" t="e">
        <f>F13/#REF!</f>
        <v>#DIV/0!</v>
      </c>
    </row>
    <row r="11" spans="1:18">
      <c r="A11" s="4"/>
      <c r="B11" s="13">
        <v>6</v>
      </c>
      <c r="C11" s="14">
        <f>données!C35</f>
        <v>0</v>
      </c>
      <c r="D11" s="14">
        <f t="shared" si="0"/>
        <v>0</v>
      </c>
      <c r="E11" s="16" t="e">
        <f>données!I27</f>
        <v>#DIV/0!</v>
      </c>
      <c r="F11" s="14" t="e">
        <f t="shared" si="1"/>
        <v>#DIV/0!</v>
      </c>
      <c r="G11" s="15" t="e">
        <f t="shared" si="2"/>
        <v>#DIV/0!</v>
      </c>
      <c r="H11" s="15">
        <f>données!M35</f>
        <v>0</v>
      </c>
      <c r="I11" s="6" t="e">
        <f>F3*données!I$3^3*((données!I$17+SIN(données!I$17)*COS(données!I$17))/2-SIN(données!I$17)^2/données!I$17)+D11*G11^2</f>
        <v>#DIV/0!</v>
      </c>
      <c r="J11" s="8"/>
    </row>
    <row r="12" spans="1:18">
      <c r="B12" s="13" t="s">
        <v>73</v>
      </c>
      <c r="C12" s="14">
        <f>15*F$3-données!I$19</f>
        <v>0</v>
      </c>
      <c r="D12" s="14">
        <f t="shared" si="0"/>
        <v>0</v>
      </c>
      <c r="E12" s="14">
        <v>0</v>
      </c>
      <c r="F12" s="14">
        <f t="shared" si="1"/>
        <v>0</v>
      </c>
      <c r="G12" s="15" t="e">
        <f t="shared" si="2"/>
        <v>#DIV/0!</v>
      </c>
      <c r="H12" s="15">
        <f>données!M36</f>
        <v>0</v>
      </c>
      <c r="I12" s="7" t="e">
        <f>D12*H12^2/12+D12*G12^2</f>
        <v>#DIV/0!</v>
      </c>
      <c r="J12" s="8"/>
    </row>
    <row r="13" spans="1:18">
      <c r="B13" s="26" t="s">
        <v>6</v>
      </c>
      <c r="C13" s="16"/>
      <c r="D13" s="27">
        <f>SUM(D6:D12)</f>
        <v>0</v>
      </c>
      <c r="E13" s="17"/>
      <c r="F13" s="14" t="e">
        <f>SUM(F6:F12)</f>
        <v>#DIV/0!</v>
      </c>
      <c r="G13" s="17" t="e">
        <f>F13/D13</f>
        <v>#DIV/0!</v>
      </c>
      <c r="H13" s="17"/>
      <c r="I13" s="7" t="e">
        <f>SUM(I6:I12)</f>
        <v>#DIV/0!</v>
      </c>
      <c r="J13" s="8"/>
    </row>
    <row r="14" spans="1:18">
      <c r="B14" s="18"/>
      <c r="C14" s="18"/>
      <c r="D14" s="18"/>
      <c r="E14" s="18"/>
      <c r="F14" s="18"/>
      <c r="G14" s="18"/>
      <c r="H14" s="19"/>
      <c r="I14" s="19"/>
      <c r="J14" s="19"/>
      <c r="K14" s="8"/>
      <c r="L14" s="8"/>
    </row>
    <row r="15" spans="1:18" ht="17">
      <c r="B15" s="13" t="s">
        <v>5</v>
      </c>
      <c r="C15" s="13" t="s">
        <v>46</v>
      </c>
      <c r="D15" s="13" t="s">
        <v>49</v>
      </c>
      <c r="E15" s="13"/>
      <c r="F15" s="13"/>
      <c r="G15" s="13"/>
      <c r="H15" s="13"/>
      <c r="I15" s="13"/>
      <c r="J15" s="8"/>
      <c r="K15" s="13" t="s">
        <v>37</v>
      </c>
      <c r="L15" s="13" t="s">
        <v>38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43</v>
      </c>
      <c r="R15" s="13"/>
    </row>
    <row r="16" spans="1:18" ht="17">
      <c r="A16" s="4"/>
      <c r="B16" s="13" t="s">
        <v>72</v>
      </c>
      <c r="C16" s="14" t="e">
        <f>'largeur_eff_semelle bis'!O10-données!I19</f>
        <v>#DIV/0!</v>
      </c>
      <c r="D16" s="14" t="e">
        <f>C16*$F$3</f>
        <v>#DIV/0!</v>
      </c>
      <c r="E16" s="14"/>
      <c r="F16" s="14"/>
      <c r="G16" s="15"/>
      <c r="H16" s="15"/>
      <c r="I16" s="12"/>
      <c r="J16" s="8"/>
      <c r="K16" s="2" t="s">
        <v>44</v>
      </c>
      <c r="L16" s="2"/>
      <c r="M16" s="2" t="s">
        <v>45</v>
      </c>
      <c r="N16" s="2"/>
      <c r="O16" s="2" t="s">
        <v>107</v>
      </c>
      <c r="P16" s="2"/>
      <c r="Q16" s="2" t="s">
        <v>108</v>
      </c>
      <c r="R16" s="2"/>
    </row>
    <row r="17" spans="1:12">
      <c r="A17" s="4"/>
      <c r="B17" s="13">
        <v>2</v>
      </c>
      <c r="C17" s="14">
        <f>données!C31</f>
        <v>0</v>
      </c>
      <c r="D17" s="14">
        <f t="shared" ref="D17:D22" si="4">C17*$F$3</f>
        <v>0</v>
      </c>
      <c r="E17" s="14"/>
      <c r="F17" s="14"/>
      <c r="G17" s="15"/>
      <c r="H17" s="15"/>
      <c r="I17" s="6"/>
      <c r="J17" s="8"/>
      <c r="K17" s="8"/>
      <c r="L17" s="8"/>
    </row>
    <row r="18" spans="1:12">
      <c r="A18" s="4"/>
      <c r="B18" s="13">
        <v>3</v>
      </c>
      <c r="C18" s="14">
        <f>données!C32</f>
        <v>0</v>
      </c>
      <c r="D18" s="14">
        <f t="shared" si="4"/>
        <v>0</v>
      </c>
      <c r="E18" s="46"/>
      <c r="F18" s="14"/>
      <c r="G18" s="15"/>
      <c r="H18" s="15"/>
      <c r="I18" s="7"/>
      <c r="J18" s="8"/>
      <c r="K18" s="8"/>
      <c r="L18" s="8"/>
    </row>
    <row r="19" spans="1:12">
      <c r="A19" s="4"/>
      <c r="B19" s="13">
        <v>4</v>
      </c>
      <c r="C19" s="14">
        <f>données!C33</f>
        <v>0</v>
      </c>
      <c r="D19" s="14">
        <f t="shared" si="4"/>
        <v>0</v>
      </c>
      <c r="E19" s="16"/>
      <c r="F19" s="14"/>
      <c r="G19" s="15"/>
      <c r="H19" s="15"/>
      <c r="I19" s="6"/>
      <c r="J19" s="8"/>
      <c r="K19" s="8"/>
      <c r="L19" s="8"/>
    </row>
    <row r="20" spans="1:12">
      <c r="A20" s="4"/>
      <c r="B20" s="13">
        <v>5</v>
      </c>
      <c r="C20" s="14">
        <f>données!C34</f>
        <v>0</v>
      </c>
      <c r="D20" s="14">
        <f t="shared" si="4"/>
        <v>0</v>
      </c>
      <c r="E20" s="46"/>
      <c r="F20" s="14"/>
      <c r="G20" s="15"/>
      <c r="H20" s="15"/>
      <c r="I20" s="7"/>
      <c r="J20" s="8"/>
      <c r="K20" s="8" t="s">
        <v>15</v>
      </c>
      <c r="L20" s="8" t="e">
        <f>F23/#REF!</f>
        <v>#REF!</v>
      </c>
    </row>
    <row r="21" spans="1:12">
      <c r="A21" s="4"/>
      <c r="B21" s="13">
        <v>6</v>
      </c>
      <c r="C21" s="14">
        <f>données!C35</f>
        <v>0</v>
      </c>
      <c r="D21" s="14">
        <f t="shared" si="4"/>
        <v>0</v>
      </c>
      <c r="E21" s="16"/>
      <c r="F21" s="14"/>
      <c r="G21" s="15"/>
      <c r="H21" s="15"/>
      <c r="I21" s="6"/>
      <c r="J21" s="8"/>
    </row>
    <row r="22" spans="1:12">
      <c r="B22" s="13" t="s">
        <v>73</v>
      </c>
      <c r="C22" s="105" t="e">
        <f>'largeur_eff_semelle bis'!O5-données!I19</f>
        <v>#DIV/0!</v>
      </c>
      <c r="D22" s="14" t="e">
        <f t="shared" si="4"/>
        <v>#DIV/0!</v>
      </c>
      <c r="E22" s="14"/>
      <c r="F22" s="14"/>
      <c r="G22" s="15"/>
      <c r="H22" s="15"/>
      <c r="I22" s="76"/>
      <c r="J22" s="8"/>
    </row>
    <row r="23" spans="1:12">
      <c r="B23" s="26" t="s">
        <v>6</v>
      </c>
      <c r="C23" s="16"/>
      <c r="D23" s="27" t="e">
        <f>SUM(D16:D22)</f>
        <v>#DIV/0!</v>
      </c>
      <c r="E23" s="17"/>
      <c r="F23" s="14"/>
      <c r="G23" s="17"/>
      <c r="H23" s="17"/>
      <c r="I23" s="7"/>
      <c r="J23" s="8"/>
    </row>
    <row r="24" spans="1:12">
      <c r="B24" s="18"/>
      <c r="C24" s="18"/>
      <c r="D24" s="18"/>
      <c r="E24" s="18"/>
      <c r="F24" s="18"/>
      <c r="G24" s="18"/>
      <c r="H24" s="19"/>
      <c r="I24" s="19"/>
      <c r="J24" s="19"/>
      <c r="K24" s="8"/>
      <c r="L24" s="8"/>
    </row>
    <row r="25" spans="1:12">
      <c r="B25" s="18"/>
      <c r="C25" s="18"/>
      <c r="D25" s="18"/>
      <c r="E25" s="18"/>
      <c r="F25" s="18"/>
      <c r="G25" s="18"/>
      <c r="H25" s="19"/>
      <c r="I25" s="19"/>
      <c r="J25" s="19"/>
      <c r="K25" s="8"/>
      <c r="L25" s="8"/>
    </row>
    <row r="26" spans="1:12" ht="17">
      <c r="B26" s="2" t="s">
        <v>27</v>
      </c>
      <c r="C26" s="2" t="s">
        <v>28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114</v>
      </c>
      <c r="I26" s="2" t="s">
        <v>33</v>
      </c>
      <c r="J26" s="8"/>
      <c r="K26" s="8"/>
      <c r="L26" s="8"/>
    </row>
    <row r="27" spans="1:12">
      <c r="B27" s="7">
        <f>2*D3+E3+2*B3</f>
        <v>0</v>
      </c>
      <c r="C27" s="7">
        <f>D3+C3/2</f>
        <v>0</v>
      </c>
      <c r="D27" s="7">
        <f>données!D15</f>
        <v>0</v>
      </c>
      <c r="E27" s="7" t="e">
        <f>données!Q3</f>
        <v>#DIV/0!</v>
      </c>
      <c r="F27" s="7" t="e">
        <f>3.65*(I13*C27^2*(3*B27-4*C27)/F3^3)^0.25</f>
        <v>#DIV/0!</v>
      </c>
      <c r="G27" s="7" t="e">
        <f>F27/E27</f>
        <v>#DIV/0!</v>
      </c>
      <c r="H27" s="7" t="e">
        <f>((2*B27+E27)*(3*B27-4*C27)/(C27*(4*B27-6*C27)+E27*(3*B27-4*C27)))^0.5</f>
        <v>#DIV/0!</v>
      </c>
      <c r="I27" s="77" t="e">
        <f>IF(G27&gt;2,H27,(H27-(H27-1)*(2*F27/E27-(F27/E27)^2)))</f>
        <v>#DIV/0!</v>
      </c>
      <c r="J27" s="8"/>
      <c r="K27" s="8"/>
      <c r="L27" s="8"/>
    </row>
    <row r="28" spans="1:1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7">
      <c r="B29" s="2" t="s">
        <v>52</v>
      </c>
      <c r="C29" s="8"/>
      <c r="D29" s="8"/>
      <c r="E29" s="8"/>
      <c r="F29" s="8"/>
      <c r="G29" s="8"/>
      <c r="H29" s="8"/>
      <c r="I29" s="8"/>
      <c r="J29" s="8"/>
      <c r="K29" s="8"/>
    </row>
    <row r="30" spans="1:12">
      <c r="B30" s="75" t="e">
        <f>4.2*I27*G3/D23*(I13*F3^3/8/C27^2/(3*B27-4*C27))^0.5</f>
        <v>#DIV/0!</v>
      </c>
      <c r="C30" s="8"/>
      <c r="D30" s="8"/>
      <c r="E30" s="8"/>
      <c r="F30" s="8"/>
      <c r="G30" s="8"/>
      <c r="H30" s="8"/>
      <c r="I30" s="8"/>
      <c r="J30" s="8"/>
      <c r="K30" s="8"/>
    </row>
    <row r="32" spans="1:12" ht="17">
      <c r="B32" s="2" t="s">
        <v>21</v>
      </c>
      <c r="C32" s="2" t="s">
        <v>9</v>
      </c>
      <c r="D32" s="2" t="s">
        <v>115</v>
      </c>
      <c r="E32" s="2" t="s">
        <v>116</v>
      </c>
    </row>
    <row r="33" spans="2:7">
      <c r="B33" s="6">
        <f>données!G3</f>
        <v>0</v>
      </c>
      <c r="C33" s="11" t="e">
        <f>(B33/B30)^0.5</f>
        <v>#DIV/0!</v>
      </c>
      <c r="D33" t="e">
        <f>IF(C33&lt;0.65,1,(1.47-0.723*C33))</f>
        <v>#DIV/0!</v>
      </c>
      <c r="E33" t="e">
        <f>IF(C33&gt;1.38,0.66/C33,D33)</f>
        <v>#DIV/0!</v>
      </c>
    </row>
    <row r="35" spans="2:7" ht="17">
      <c r="B35" s="7" t="s">
        <v>11</v>
      </c>
      <c r="C35" s="13" t="s">
        <v>58</v>
      </c>
      <c r="E35" t="s">
        <v>134</v>
      </c>
    </row>
    <row r="36" spans="2:7">
      <c r="B36" s="78" t="e">
        <f>E33</f>
        <v>#DIV/0!</v>
      </c>
      <c r="C36" s="105" t="e">
        <f>B36*données!E3*B33/'largeur_eff_semelle bis'!K5/largeur_eff_semelle!J5</f>
        <v>#DIV/0!</v>
      </c>
      <c r="E36" t="e">
        <f>B33/largeur_eff_semelle!K5/largeur_eff_semelle!J5</f>
        <v>#DIV/0!</v>
      </c>
      <c r="G36" t="e">
        <f>B36*E36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="150" zoomScaleNormal="150" zoomScalePageLayoutView="150" workbookViewId="0">
      <selection activeCell="C3" sqref="C3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21</v>
      </c>
      <c r="E2" s="44" t="s">
        <v>70</v>
      </c>
      <c r="F2" s="43" t="s">
        <v>69</v>
      </c>
      <c r="G2" s="2" t="s">
        <v>74</v>
      </c>
      <c r="H2" s="2" t="s">
        <v>36</v>
      </c>
      <c r="I2" s="8"/>
    </row>
    <row r="3" spans="2:9">
      <c r="B3" s="2">
        <f>données!E3</f>
        <v>0</v>
      </c>
      <c r="C3" s="7">
        <f>données!H3</f>
        <v>0</v>
      </c>
      <c r="D3" s="47">
        <f>données!G3</f>
        <v>0</v>
      </c>
      <c r="E3" s="11">
        <v>1</v>
      </c>
      <c r="F3" s="11" t="e">
        <f>D3*(données!$J$30-données!$L$45)/données!$L$45</f>
        <v>#DIV/0!</v>
      </c>
      <c r="G3" s="7" t="e">
        <f>données!N3-données!L45</f>
        <v>#DIV/0!</v>
      </c>
      <c r="H3" s="2" t="e">
        <f>G3/SIN(données!B3)-données!C18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34</v>
      </c>
      <c r="C5" s="2" t="s">
        <v>35</v>
      </c>
      <c r="D5" s="2" t="s">
        <v>132</v>
      </c>
      <c r="E5" s="2" t="s">
        <v>133</v>
      </c>
      <c r="F5" s="8"/>
      <c r="G5" s="8"/>
      <c r="H5" s="8"/>
    </row>
    <row r="6" spans="2:9">
      <c r="B6" s="76" t="e">
        <f>0.95*B3*(C3/F3/E3)^0.5</f>
        <v>#DIV/0!</v>
      </c>
      <c r="C6" s="76" t="e">
        <f>B6</f>
        <v>#DIV/0!</v>
      </c>
      <c r="D6" s="7" t="e">
        <f>1.5*C6</f>
        <v>#DIV/0!</v>
      </c>
      <c r="E6" s="9" t="e">
        <f>C6+D6</f>
        <v>#DIV/0!</v>
      </c>
      <c r="F6" s="8"/>
      <c r="G6" s="79" t="s">
        <v>121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80" t="s">
        <v>8</v>
      </c>
      <c r="C8" s="81"/>
      <c r="D8" s="81"/>
      <c r="E8" s="81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opLeftCell="A42" zoomScale="130" zoomScaleNormal="130" zoomScalePageLayoutView="130" workbookViewId="0">
      <selection activeCell="C3" sqref="C3"/>
    </sheetView>
  </sheetViews>
  <sheetFormatPr baseColWidth="10" defaultRowHeight="14" x14ac:dyDescent="0"/>
  <cols>
    <col min="2" max="2" width="11.5" bestFit="1" customWidth="1"/>
  </cols>
  <sheetData>
    <row r="2" spans="1:11" ht="17">
      <c r="B2" s="2" t="s">
        <v>0</v>
      </c>
      <c r="C2" s="2" t="s">
        <v>2</v>
      </c>
      <c r="D2" s="2" t="s">
        <v>21</v>
      </c>
      <c r="E2" s="8"/>
      <c r="F2" s="8"/>
      <c r="G2" s="8"/>
      <c r="H2" s="8"/>
      <c r="I2" s="8"/>
      <c r="J2" s="8"/>
      <c r="K2" s="8"/>
    </row>
    <row r="3" spans="1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B5" s="127"/>
      <c r="C5" s="127"/>
      <c r="D5" s="127"/>
      <c r="E5" s="127"/>
      <c r="F5" s="127"/>
      <c r="G5" s="39"/>
      <c r="H5" s="8"/>
      <c r="I5" s="8"/>
      <c r="J5" s="8"/>
      <c r="K5" s="8"/>
    </row>
    <row r="6" spans="1:11">
      <c r="B6" s="128"/>
      <c r="C6" s="128"/>
      <c r="D6" s="128"/>
      <c r="E6" s="127"/>
      <c r="F6" s="127"/>
      <c r="G6" s="39"/>
      <c r="H6" s="8"/>
      <c r="I6" s="8"/>
      <c r="J6" s="8"/>
      <c r="K6" s="8"/>
    </row>
    <row r="7" spans="1:1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7">
      <c r="B10" s="13" t="s">
        <v>5</v>
      </c>
      <c r="C10" s="13" t="s">
        <v>46</v>
      </c>
      <c r="D10" s="161" t="s">
        <v>53</v>
      </c>
      <c r="E10" s="13" t="s">
        <v>49</v>
      </c>
      <c r="F10" s="13" t="s">
        <v>47</v>
      </c>
      <c r="G10" s="13" t="s">
        <v>50</v>
      </c>
      <c r="H10" s="13" t="s">
        <v>48</v>
      </c>
      <c r="I10" s="22" t="s">
        <v>7</v>
      </c>
      <c r="J10" s="13" t="s">
        <v>51</v>
      </c>
      <c r="K10" s="23" t="s">
        <v>12</v>
      </c>
    </row>
    <row r="11" spans="1:11" ht="15">
      <c r="A11" s="5">
        <v>7.9683840354230568</v>
      </c>
      <c r="B11" s="13">
        <v>1</v>
      </c>
      <c r="C11" s="14" t="e">
        <f>'largeur_eff_semelle bis'!O10-données!I19</f>
        <v>#DIV/0!</v>
      </c>
      <c r="D11" s="166" t="e">
        <f>'raidisseur (bis)'!C$36</f>
        <v>#DIV/0!</v>
      </c>
      <c r="E11" s="105" t="e">
        <f>C11*D11</f>
        <v>#DIV/0!</v>
      </c>
      <c r="F11" s="14">
        <f>données!J30</f>
        <v>0</v>
      </c>
      <c r="G11" s="14" t="e">
        <f>E11*F11</f>
        <v>#DIV/0!</v>
      </c>
      <c r="H11" s="7" t="e">
        <f>$H$31-F11</f>
        <v>#DIV/0!</v>
      </c>
      <c r="I11" s="29">
        <f>données!M30</f>
        <v>0</v>
      </c>
      <c r="J11" s="7" t="e">
        <f>E11*I11^2/12+E11*H11^2</f>
        <v>#DIV/0!</v>
      </c>
      <c r="K11" s="28"/>
    </row>
    <row r="12" spans="1:11" ht="15">
      <c r="A12" s="5">
        <v>1.0597772817220399</v>
      </c>
      <c r="B12" s="13">
        <v>2</v>
      </c>
      <c r="C12" s="14">
        <f>données!C31</f>
        <v>0</v>
      </c>
      <c r="D12" s="166" t="e">
        <f>'raidisseur (bis)'!C$36</f>
        <v>#DIV/0!</v>
      </c>
      <c r="E12" s="105" t="e">
        <f t="shared" ref="E12:E17" si="0">C12*D12</f>
        <v>#DIV/0!</v>
      </c>
      <c r="F12" s="14" t="e">
        <f>données!J31</f>
        <v>#DIV/0!</v>
      </c>
      <c r="G12" s="14" t="e">
        <f t="shared" ref="G12:G28" si="1">E12*F12</f>
        <v>#DIV/0!</v>
      </c>
      <c r="H12" s="7" t="e">
        <f t="shared" ref="H12:H28" si="2">$H$31-F12</f>
        <v>#DIV/0!</v>
      </c>
      <c r="I12" s="29">
        <f>données!M31</f>
        <v>0</v>
      </c>
      <c r="J12" s="6" t="e">
        <f>B3*données!I$3^3*((données!D$3+SIN(données!D$3)*COS(données!D$3))/2-SIN(données!D$3)^2/données!D$3)+E12*H12^2</f>
        <v>#DIV/0!</v>
      </c>
      <c r="K12" s="8"/>
    </row>
    <row r="13" spans="1:11" ht="15">
      <c r="A13" s="5">
        <v>11.142172819405019</v>
      </c>
      <c r="B13" s="13">
        <v>3</v>
      </c>
      <c r="C13" s="14">
        <f>données!C32</f>
        <v>0</v>
      </c>
      <c r="D13" s="166" t="e">
        <f>'raidisseur (bis)'!C$36</f>
        <v>#DIV/0!</v>
      </c>
      <c r="E13" s="105" t="e">
        <f t="shared" si="0"/>
        <v>#DIV/0!</v>
      </c>
      <c r="F13" s="14">
        <f>données!J32</f>
        <v>0</v>
      </c>
      <c r="G13" s="14" t="e">
        <f t="shared" si="1"/>
        <v>#DIV/0!</v>
      </c>
      <c r="H13" s="7" t="e">
        <f t="shared" si="2"/>
        <v>#DIV/0!</v>
      </c>
      <c r="I13" s="29">
        <f>données!M32</f>
        <v>0</v>
      </c>
      <c r="J13" s="7" t="e">
        <f t="shared" ref="J13:J28" si="3">E13*I13^2/12+E13*H13^2</f>
        <v>#DIV/0!</v>
      </c>
      <c r="K13" s="8"/>
    </row>
    <row r="14" spans="1:11" ht="15">
      <c r="A14" s="5">
        <v>2.1195545634440798</v>
      </c>
      <c r="B14" s="13">
        <v>4</v>
      </c>
      <c r="C14" s="14">
        <f>données!C33</f>
        <v>0</v>
      </c>
      <c r="D14" s="166" t="e">
        <f>'raidisseur (bis)'!C$36</f>
        <v>#DIV/0!</v>
      </c>
      <c r="E14" s="105" t="e">
        <f t="shared" si="0"/>
        <v>#DIV/0!</v>
      </c>
      <c r="F14" s="14" t="e">
        <f>données!J33</f>
        <v>#DIV/0!</v>
      </c>
      <c r="G14" s="14" t="e">
        <f t="shared" si="1"/>
        <v>#DIV/0!</v>
      </c>
      <c r="H14" s="7" t="e">
        <f t="shared" si="2"/>
        <v>#DIV/0!</v>
      </c>
      <c r="I14" s="29">
        <f>données!M33</f>
        <v>0</v>
      </c>
      <c r="J14" s="72" t="e">
        <f>B3*(données!$I$3^3*((données!$L$17+SIN(données!$L$17)*COS(données!$L$17))/2-SIN(données!$L$17)^2/données!$L$17))+E14*H14^2</f>
        <v>#DIV/0!</v>
      </c>
      <c r="K14" s="8"/>
    </row>
    <row r="15" spans="1:11" ht="15">
      <c r="A15" s="5">
        <v>11.142172819405019</v>
      </c>
      <c r="B15" s="13">
        <v>5</v>
      </c>
      <c r="C15" s="14">
        <f>données!C34</f>
        <v>0</v>
      </c>
      <c r="D15" s="166" t="e">
        <f>'raidisseur (bis)'!C$36</f>
        <v>#DIV/0!</v>
      </c>
      <c r="E15" s="105" t="e">
        <f t="shared" si="0"/>
        <v>#DIV/0!</v>
      </c>
      <c r="F15" s="14">
        <f>données!J34</f>
        <v>0</v>
      </c>
      <c r="G15" s="14" t="e">
        <f t="shared" si="1"/>
        <v>#DIV/0!</v>
      </c>
      <c r="H15" s="7" t="e">
        <f t="shared" si="2"/>
        <v>#DIV/0!</v>
      </c>
      <c r="I15" s="29">
        <f>données!M34</f>
        <v>0</v>
      </c>
      <c r="J15" s="7" t="e">
        <f t="shared" si="3"/>
        <v>#DIV/0!</v>
      </c>
      <c r="K15" s="8"/>
    </row>
    <row r="16" spans="1:11" ht="15">
      <c r="A16" s="5">
        <v>1.0597772817220399</v>
      </c>
      <c r="B16" s="13">
        <v>6</v>
      </c>
      <c r="C16" s="14">
        <f>données!C35</f>
        <v>0</v>
      </c>
      <c r="D16" s="166" t="e">
        <f>'raidisseur (bis)'!C$36</f>
        <v>#DIV/0!</v>
      </c>
      <c r="E16" s="105" t="e">
        <f t="shared" si="0"/>
        <v>#DIV/0!</v>
      </c>
      <c r="F16" s="14" t="e">
        <f>données!J35</f>
        <v>#DIV/0!</v>
      </c>
      <c r="G16" s="14" t="e">
        <f t="shared" si="1"/>
        <v>#DIV/0!</v>
      </c>
      <c r="H16" s="7" t="e">
        <f t="shared" si="2"/>
        <v>#DIV/0!</v>
      </c>
      <c r="I16" s="29">
        <f>données!M35</f>
        <v>0</v>
      </c>
      <c r="J16" s="6" t="e">
        <f>B3*données!I$3^3*((données!D$3+SIN(données!D$3)*COS(données!D$3))/2-SIN(données!D$3)^2/données!D$3)+E16*H16^2</f>
        <v>#DIV/0!</v>
      </c>
      <c r="K16" s="8"/>
    </row>
    <row r="17" spans="1:11" ht="15">
      <c r="A17" s="5">
        <v>15.567722511067876</v>
      </c>
      <c r="B17" s="13">
        <v>71</v>
      </c>
      <c r="C17" s="21" t="e">
        <f>'largeur_eff_semelle bis'!O5-données!I19</f>
        <v>#DIV/0!</v>
      </c>
      <c r="D17" s="166" t="e">
        <f>'raidisseur (bis)'!C$36</f>
        <v>#DIV/0!</v>
      </c>
      <c r="E17" s="105" t="e">
        <f t="shared" si="0"/>
        <v>#DIV/0!</v>
      </c>
      <c r="F17" s="14">
        <f>données!J36</f>
        <v>0</v>
      </c>
      <c r="G17" s="14" t="e">
        <f t="shared" si="1"/>
        <v>#DIV/0!</v>
      </c>
      <c r="H17" s="7" t="e">
        <f t="shared" si="2"/>
        <v>#DIV/0!</v>
      </c>
      <c r="I17" s="29">
        <f>données!M36</f>
        <v>0</v>
      </c>
      <c r="J17" s="7" t="e">
        <f t="shared" si="3"/>
        <v>#DIV/0!</v>
      </c>
      <c r="K17" s="8"/>
    </row>
    <row r="18" spans="1:11">
      <c r="A18" s="5">
        <v>6.7466330554371527</v>
      </c>
      <c r="B18" s="13">
        <v>72</v>
      </c>
      <c r="C18" s="21" t="e">
        <f>largeur_eff_semelle!O5-données!C19</f>
        <v>#DIV/0!</v>
      </c>
      <c r="D18" s="24">
        <f>$B$3</f>
        <v>0</v>
      </c>
      <c r="E18" s="14" t="e">
        <f t="shared" ref="E18:E28" si="4">C18*D18</f>
        <v>#DIV/0!</v>
      </c>
      <c r="F18" s="14">
        <f>données!J36</f>
        <v>0</v>
      </c>
      <c r="G18" s="14" t="e">
        <f t="shared" si="1"/>
        <v>#DIV/0!</v>
      </c>
      <c r="H18" s="7" t="e">
        <f t="shared" si="2"/>
        <v>#DIV/0!</v>
      </c>
      <c r="I18" s="29">
        <f>données!M36</f>
        <v>0</v>
      </c>
      <c r="J18" s="7" t="e">
        <f t="shared" si="3"/>
        <v>#DIV/0!</v>
      </c>
      <c r="K18" s="8"/>
    </row>
    <row r="19" spans="1:11">
      <c r="A19" s="5">
        <v>55.28641040558567</v>
      </c>
      <c r="B19" s="13">
        <v>8</v>
      </c>
      <c r="C19" s="21">
        <f>données!C37</f>
        <v>0</v>
      </c>
      <c r="D19" s="24">
        <f>$B$3</f>
        <v>0</v>
      </c>
      <c r="E19" s="14">
        <f t="shared" si="4"/>
        <v>0</v>
      </c>
      <c r="F19" s="14" t="e">
        <f>données!J37</f>
        <v>#DIV/0!</v>
      </c>
      <c r="G19" s="14" t="e">
        <f t="shared" si="1"/>
        <v>#DIV/0!</v>
      </c>
      <c r="H19" s="7" t="e">
        <f t="shared" si="2"/>
        <v>#DIV/0!</v>
      </c>
      <c r="I19" s="29">
        <f>données!M37</f>
        <v>0</v>
      </c>
      <c r="J19" s="6" t="e">
        <f>B3*données!J$3^3*((données!B$3+SIN(données!B$3)*COS(données!B$3))/2-SIN(données!B$3)^2/données!B$3)+E19*H19^2</f>
        <v>#DIV/0!</v>
      </c>
      <c r="K19" s="8"/>
    </row>
    <row r="20" spans="1:11">
      <c r="A20" s="5">
        <v>6.7466330554371527</v>
      </c>
      <c r="B20" s="13">
        <v>9</v>
      </c>
      <c r="C20" s="21">
        <f>données!C38</f>
        <v>0</v>
      </c>
      <c r="D20" s="99">
        <f>$B$3</f>
        <v>0</v>
      </c>
      <c r="E20" s="14">
        <f t="shared" si="4"/>
        <v>0</v>
      </c>
      <c r="F20" s="14">
        <f>données!J38</f>
        <v>0</v>
      </c>
      <c r="G20" s="14">
        <f t="shared" si="1"/>
        <v>0</v>
      </c>
      <c r="H20" s="7" t="e">
        <f t="shared" si="2"/>
        <v>#DIV/0!</v>
      </c>
      <c r="I20" s="29">
        <f>données!M38</f>
        <v>0</v>
      </c>
      <c r="J20" s="7" t="e">
        <f t="shared" si="3"/>
        <v>#DIV/0!</v>
      </c>
      <c r="K20" s="8"/>
    </row>
    <row r="21" spans="1:11">
      <c r="A21" s="5"/>
      <c r="B21" s="13"/>
      <c r="C21" s="21">
        <f>-data!$Q$14</f>
        <v>0</v>
      </c>
      <c r="D21" s="99">
        <f>B3</f>
        <v>0</v>
      </c>
      <c r="E21" s="14">
        <f t="shared" ref="E21:E22" si="5">C21*D21</f>
        <v>0</v>
      </c>
      <c r="F21" s="14">
        <f>data!$S$14</f>
        <v>0</v>
      </c>
      <c r="G21" s="14">
        <f t="shared" ref="G21:G22" si="6">E21*F21</f>
        <v>0</v>
      </c>
      <c r="H21" s="7" t="e">
        <f t="shared" ref="H21:H22" si="7">$H$31-F21</f>
        <v>#DIV/0!</v>
      </c>
      <c r="I21" s="107">
        <f>-C21*SIN(données!$B$3)</f>
        <v>0</v>
      </c>
      <c r="J21" s="7" t="e">
        <f>E21*I21^2/12+E21*H21^2</f>
        <v>#DIV/0!</v>
      </c>
      <c r="K21" s="8"/>
    </row>
    <row r="22" spans="1:11">
      <c r="A22" s="5"/>
      <c r="B22" s="13"/>
      <c r="C22" s="21">
        <f>data!$Q$14</f>
        <v>0</v>
      </c>
      <c r="D22" s="136">
        <f>B3</f>
        <v>0</v>
      </c>
      <c r="E22" s="14">
        <f t="shared" si="5"/>
        <v>0</v>
      </c>
      <c r="F22" s="14">
        <f>data!$S$14</f>
        <v>0</v>
      </c>
      <c r="G22" s="14">
        <f t="shared" si="6"/>
        <v>0</v>
      </c>
      <c r="H22" s="7" t="e">
        <f t="shared" si="7"/>
        <v>#DIV/0!</v>
      </c>
      <c r="I22" s="107">
        <f>C22*SIN(données!$B$3)</f>
        <v>0</v>
      </c>
      <c r="J22" s="7" t="e">
        <f>E22*I22^2/12+E22*H22^2</f>
        <v>#DIV/0!</v>
      </c>
      <c r="K22" s="8"/>
    </row>
    <row r="23" spans="1:11">
      <c r="A23" s="5"/>
      <c r="B23" s="13"/>
      <c r="C23" s="21">
        <f>-data!$R$14</f>
        <v>0</v>
      </c>
      <c r="D23" s="99">
        <f>B3</f>
        <v>0</v>
      </c>
      <c r="E23" s="14">
        <f t="shared" ref="E23:E24" si="8">C23*D23</f>
        <v>0</v>
      </c>
      <c r="F23" s="14">
        <f>data!$T$14</f>
        <v>0</v>
      </c>
      <c r="G23" s="14">
        <f t="shared" ref="G23:G24" si="9">E23*F23</f>
        <v>0</v>
      </c>
      <c r="H23" s="7" t="e">
        <f t="shared" ref="H23:H24" si="10">$H$31-F23</f>
        <v>#DIV/0!</v>
      </c>
      <c r="I23" s="107">
        <f>-C23*SIN(données!$B$3)</f>
        <v>0</v>
      </c>
      <c r="J23" s="7" t="e">
        <f>E23*I23^2/12+E23*H23^2</f>
        <v>#DIV/0!</v>
      </c>
      <c r="K23" s="8"/>
    </row>
    <row r="24" spans="1:11">
      <c r="A24" s="5"/>
      <c r="B24" s="13"/>
      <c r="C24" s="21">
        <f>data!$R$14</f>
        <v>0</v>
      </c>
      <c r="D24" s="136">
        <f>B3</f>
        <v>0</v>
      </c>
      <c r="E24" s="14">
        <f t="shared" si="8"/>
        <v>0</v>
      </c>
      <c r="F24" s="14">
        <f>data!$T$14</f>
        <v>0</v>
      </c>
      <c r="G24" s="14">
        <f t="shared" si="9"/>
        <v>0</v>
      </c>
      <c r="H24" s="7" t="e">
        <f t="shared" si="10"/>
        <v>#DIV/0!</v>
      </c>
      <c r="I24" s="107">
        <f>C24*SIN(données!$B$3)</f>
        <v>0</v>
      </c>
      <c r="J24" s="7" t="e">
        <f>E24*I24^2/12+E24*H24^2</f>
        <v>#DIV/0!</v>
      </c>
      <c r="K24" s="8"/>
    </row>
    <row r="25" spans="1:11">
      <c r="A25" s="5">
        <v>16.599338475644821</v>
      </c>
      <c r="B25" s="13">
        <v>10</v>
      </c>
      <c r="C25" s="21">
        <f>données!C39</f>
        <v>0</v>
      </c>
      <c r="D25" s="24">
        <f t="shared" ref="D25:D28" si="11">$B$3</f>
        <v>0</v>
      </c>
      <c r="E25" s="14">
        <f t="shared" si="4"/>
        <v>0</v>
      </c>
      <c r="F25" s="14" t="e">
        <f>données!J39</f>
        <v>#DIV/0!</v>
      </c>
      <c r="G25" s="14" t="e">
        <f t="shared" si="1"/>
        <v>#DIV/0!</v>
      </c>
      <c r="H25" s="7" t="e">
        <f t="shared" si="2"/>
        <v>#DIV/0!</v>
      </c>
      <c r="I25" s="29">
        <f>données!M39</f>
        <v>0</v>
      </c>
      <c r="J25" s="6" t="e">
        <f>B3*données!$K$3^3*((données!$C$17+SIN(données!$C$17)*COS(données!$C$17))/2-SIN(données!$C$17)^2/données!$C$17)+E25*H25^2</f>
        <v>#DIV/0!</v>
      </c>
      <c r="K25" s="8"/>
    </row>
    <row r="26" spans="1:11">
      <c r="A26" s="5">
        <v>1</v>
      </c>
      <c r="B26" s="13">
        <v>11</v>
      </c>
      <c r="C26" s="21">
        <f>données!C40</f>
        <v>0</v>
      </c>
      <c r="D26" s="24">
        <f t="shared" si="11"/>
        <v>0</v>
      </c>
      <c r="E26" s="14">
        <f t="shared" si="4"/>
        <v>0</v>
      </c>
      <c r="F26" s="14">
        <f>données!J40</f>
        <v>0</v>
      </c>
      <c r="G26" s="14">
        <f t="shared" si="1"/>
        <v>0</v>
      </c>
      <c r="H26" s="7" t="e">
        <f t="shared" si="2"/>
        <v>#DIV/0!</v>
      </c>
      <c r="I26" s="29">
        <f>données!M40</f>
        <v>0</v>
      </c>
      <c r="J26" s="7" t="e">
        <f t="shared" si="3"/>
        <v>#DIV/0!</v>
      </c>
      <c r="K26" s="8"/>
    </row>
    <row r="27" spans="1:11">
      <c r="A27" s="5">
        <v>10</v>
      </c>
      <c r="B27" s="13">
        <v>12</v>
      </c>
      <c r="C27" s="21">
        <f>données!C41</f>
        <v>0</v>
      </c>
      <c r="D27" s="24">
        <f t="shared" si="11"/>
        <v>0</v>
      </c>
      <c r="E27" s="14">
        <f t="shared" si="4"/>
        <v>0</v>
      </c>
      <c r="F27" s="14">
        <f>données!J41</f>
        <v>0</v>
      </c>
      <c r="G27" s="14">
        <f t="shared" si="1"/>
        <v>0</v>
      </c>
      <c r="H27" s="7" t="e">
        <f t="shared" si="2"/>
        <v>#DIV/0!</v>
      </c>
      <c r="I27" s="29">
        <f>données!M41</f>
        <v>0</v>
      </c>
      <c r="J27" s="7" t="e">
        <f t="shared" si="3"/>
        <v>#DIV/0!</v>
      </c>
      <c r="K27" s="8"/>
    </row>
    <row r="28" spans="1:11">
      <c r="A28" s="5"/>
      <c r="B28" s="13">
        <v>13</v>
      </c>
      <c r="C28" s="21">
        <f>données!C42</f>
        <v>0</v>
      </c>
      <c r="D28" s="24">
        <f t="shared" si="11"/>
        <v>0</v>
      </c>
      <c r="E28" s="14">
        <f t="shared" si="4"/>
        <v>0</v>
      </c>
      <c r="F28" s="14">
        <f>données!J42</f>
        <v>0</v>
      </c>
      <c r="G28" s="14">
        <f t="shared" si="1"/>
        <v>0</v>
      </c>
      <c r="H28" s="7" t="e">
        <f t="shared" si="2"/>
        <v>#DIV/0!</v>
      </c>
      <c r="I28" s="29">
        <f>données!M42</f>
        <v>0</v>
      </c>
      <c r="J28" s="7" t="e">
        <f t="shared" si="3"/>
        <v>#DIV/0!</v>
      </c>
      <c r="K28" s="8"/>
    </row>
    <row r="29" spans="1:11">
      <c r="B29" s="13"/>
      <c r="C29" s="21"/>
      <c r="D29" s="24"/>
      <c r="E29" s="14"/>
      <c r="F29" s="14"/>
      <c r="G29" s="14"/>
      <c r="H29" s="7"/>
      <c r="I29" s="29"/>
      <c r="J29" s="6"/>
      <c r="K29" s="8"/>
    </row>
    <row r="30" spans="1:11">
      <c r="B30" s="13"/>
      <c r="C30" s="21"/>
      <c r="D30" s="24"/>
      <c r="E30" s="14"/>
      <c r="F30" s="14"/>
      <c r="G30" s="14"/>
      <c r="H30" s="7"/>
      <c r="I30" s="29"/>
      <c r="J30" s="7"/>
      <c r="K30" s="8"/>
    </row>
    <row r="31" spans="1:11">
      <c r="B31" s="13" t="s">
        <v>6</v>
      </c>
      <c r="C31" s="8"/>
      <c r="D31" s="8"/>
      <c r="E31" s="25" t="e">
        <f>SUM(E11:E30)</f>
        <v>#DIV/0!</v>
      </c>
      <c r="F31" s="8"/>
      <c r="G31" s="25" t="e">
        <f>SUM(G11:G30)</f>
        <v>#DIV/0!</v>
      </c>
      <c r="H31" s="25" t="e">
        <f>G31/E31</f>
        <v>#DIV/0!</v>
      </c>
      <c r="I31" s="8"/>
      <c r="J31" s="12" t="e">
        <f>SUM(J11:J30)</f>
        <v>#DIV/0!</v>
      </c>
      <c r="K31" s="8" t="s">
        <v>76</v>
      </c>
    </row>
    <row r="32" spans="1:11">
      <c r="B32" s="8"/>
      <c r="C32" s="8"/>
      <c r="D32" s="8"/>
      <c r="E32" s="8"/>
      <c r="F32" s="8"/>
      <c r="G32" s="8"/>
      <c r="H32" s="9" t="e">
        <f>données!N3-résistance_section!H31</f>
        <v>#DIV/0!</v>
      </c>
      <c r="I32" s="8"/>
      <c r="J32" s="8" t="e">
        <f>J31*2</f>
        <v>#DIV/0!</v>
      </c>
      <c r="K32" s="8" t="s">
        <v>78</v>
      </c>
    </row>
    <row r="33" spans="1:11">
      <c r="B33" s="8" t="s">
        <v>57</v>
      </c>
      <c r="C33" s="8" t="e">
        <f>J31/MAX(H31,H32)</f>
        <v>#DIV/0!</v>
      </c>
      <c r="D33" s="8" t="s">
        <v>76</v>
      </c>
      <c r="E33" s="8"/>
      <c r="F33" s="8"/>
      <c r="G33" s="8"/>
      <c r="H33" s="8"/>
      <c r="I33" s="8"/>
      <c r="J33" s="8" t="e">
        <f>J32/données!M3</f>
        <v>#DIV/0!</v>
      </c>
      <c r="K33" s="8" t="s">
        <v>129</v>
      </c>
    </row>
    <row r="34" spans="1:11">
      <c r="B34" s="8" t="s">
        <v>57</v>
      </c>
      <c r="C34" s="8" t="e">
        <f>2*C33</f>
        <v>#DIV/0!</v>
      </c>
      <c r="D34" s="8" t="s">
        <v>78</v>
      </c>
      <c r="E34" s="8"/>
      <c r="F34" s="8"/>
      <c r="G34" s="8"/>
      <c r="H34" s="8"/>
      <c r="I34" s="8"/>
      <c r="J34" s="8"/>
      <c r="K34" s="8"/>
    </row>
    <row r="35" spans="1:11">
      <c r="B35" s="8" t="s">
        <v>57</v>
      </c>
      <c r="C35" s="8" t="e">
        <f>C34/données!M3</f>
        <v>#DIV/0!</v>
      </c>
      <c r="D35" s="8" t="s">
        <v>79</v>
      </c>
      <c r="E35" s="8"/>
      <c r="F35" s="8"/>
      <c r="G35" s="8"/>
      <c r="H35" s="8"/>
      <c r="I35" s="8"/>
      <c r="J35" s="8"/>
      <c r="K35" s="8"/>
    </row>
    <row r="36" spans="1:1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B37" s="8" t="s">
        <v>13</v>
      </c>
      <c r="C37" s="8" t="s">
        <v>13</v>
      </c>
      <c r="D37" s="8"/>
      <c r="E37" s="8"/>
      <c r="F37" s="8"/>
      <c r="G37" s="8"/>
      <c r="H37" s="8"/>
      <c r="I37" s="8"/>
      <c r="J37" s="8"/>
      <c r="K37" s="8"/>
    </row>
    <row r="38" spans="1:11">
      <c r="B38" s="96" t="e">
        <f>D3*C35*1</f>
        <v>#DIV/0!</v>
      </c>
      <c r="C38" s="96" t="s">
        <v>80</v>
      </c>
      <c r="D38" s="97"/>
      <c r="E38" s="97" t="e">
        <f>B38*0.9</f>
        <v>#DIV/0!</v>
      </c>
      <c r="F38" s="98">
        <v>4682.2356314310409</v>
      </c>
      <c r="G38" s="8"/>
      <c r="H38" s="8"/>
      <c r="I38" s="8"/>
      <c r="J38" s="8"/>
      <c r="K38" s="8"/>
    </row>
    <row r="39" spans="1:11">
      <c r="B39" s="49" t="e">
        <f>B38/1000</f>
        <v>#DIV/0!</v>
      </c>
      <c r="C39" t="s">
        <v>81</v>
      </c>
    </row>
    <row r="40" spans="1:11">
      <c r="B40" s="31"/>
    </row>
    <row r="42" spans="1:11" ht="17">
      <c r="B42" s="13" t="s">
        <v>5</v>
      </c>
      <c r="C42" s="13" t="s">
        <v>214</v>
      </c>
      <c r="D42" s="13" t="s">
        <v>53</v>
      </c>
      <c r="E42" s="13" t="s">
        <v>49</v>
      </c>
      <c r="F42" s="13" t="s">
        <v>47</v>
      </c>
      <c r="G42" s="13" t="s">
        <v>50</v>
      </c>
      <c r="H42" s="13" t="s">
        <v>48</v>
      </c>
      <c r="I42" s="22" t="s">
        <v>7</v>
      </c>
      <c r="J42" s="13" t="s">
        <v>51</v>
      </c>
    </row>
    <row r="43" spans="1:11">
      <c r="A43" s="151"/>
      <c r="B43" s="13">
        <v>1</v>
      </c>
      <c r="C43" s="162" t="e">
        <f>C11</f>
        <v>#DIV/0!</v>
      </c>
      <c r="D43" s="162" t="e">
        <f>D11</f>
        <v>#DIV/0!</v>
      </c>
      <c r="E43" s="170" t="e">
        <f>E11</f>
        <v>#DIV/0!</v>
      </c>
      <c r="F43" s="170">
        <f t="shared" ref="F43:J43" si="12">F11</f>
        <v>0</v>
      </c>
      <c r="G43" s="170" t="e">
        <f t="shared" si="12"/>
        <v>#DIV/0!</v>
      </c>
      <c r="H43" s="170" t="e">
        <f t="shared" si="12"/>
        <v>#DIV/0!</v>
      </c>
      <c r="I43" s="174">
        <f t="shared" si="12"/>
        <v>0</v>
      </c>
      <c r="J43" s="174" t="e">
        <f t="shared" si="12"/>
        <v>#DIV/0!</v>
      </c>
    </row>
    <row r="44" spans="1:11">
      <c r="A44" s="151"/>
      <c r="B44" s="13">
        <v>2</v>
      </c>
      <c r="C44" s="162">
        <f>C13</f>
        <v>0</v>
      </c>
      <c r="D44" s="162" t="e">
        <f>D13</f>
        <v>#DIV/0!</v>
      </c>
      <c r="E44" s="170" t="e">
        <f>E13</f>
        <v>#DIV/0!</v>
      </c>
      <c r="F44" s="170">
        <f t="shared" ref="F44:J44" si="13">F13</f>
        <v>0</v>
      </c>
      <c r="G44" s="170" t="e">
        <f t="shared" si="13"/>
        <v>#DIV/0!</v>
      </c>
      <c r="H44" s="170" t="e">
        <f t="shared" si="13"/>
        <v>#DIV/0!</v>
      </c>
      <c r="I44" s="174">
        <f t="shared" si="13"/>
        <v>0</v>
      </c>
      <c r="J44" s="174" t="e">
        <f t="shared" si="13"/>
        <v>#DIV/0!</v>
      </c>
    </row>
    <row r="45" spans="1:11">
      <c r="A45" s="151"/>
      <c r="B45" s="151" t="s">
        <v>210</v>
      </c>
      <c r="C45" s="162">
        <f t="shared" ref="C45:C46" si="14">C14</f>
        <v>0</v>
      </c>
      <c r="D45" s="162" t="e">
        <f t="shared" ref="D45:E45" si="15">D14</f>
        <v>#DIV/0!</v>
      </c>
      <c r="E45" s="170" t="e">
        <f t="shared" si="15"/>
        <v>#DIV/0!</v>
      </c>
      <c r="F45" s="170" t="e">
        <f t="shared" ref="F45:G45" si="16">F14</f>
        <v>#DIV/0!</v>
      </c>
      <c r="G45" s="170" t="e">
        <f t="shared" si="16"/>
        <v>#DIV/0!</v>
      </c>
      <c r="H45" s="170" t="e">
        <f t="shared" ref="H45:J45" si="17">H14</f>
        <v>#DIV/0!</v>
      </c>
      <c r="I45" s="174">
        <f t="shared" si="17"/>
        <v>0</v>
      </c>
      <c r="J45" s="174" t="e">
        <f t="shared" si="17"/>
        <v>#DIV/0!</v>
      </c>
    </row>
    <row r="46" spans="1:11">
      <c r="A46" s="151"/>
      <c r="B46" s="13">
        <v>3</v>
      </c>
      <c r="C46" s="162">
        <f t="shared" si="14"/>
        <v>0</v>
      </c>
      <c r="D46" s="162" t="e">
        <f t="shared" ref="D46:E46" si="18">D15</f>
        <v>#DIV/0!</v>
      </c>
      <c r="E46" s="170" t="e">
        <f t="shared" si="18"/>
        <v>#DIV/0!</v>
      </c>
      <c r="F46" s="170">
        <f t="shared" ref="F46:G46" si="19">F15</f>
        <v>0</v>
      </c>
      <c r="G46" s="170" t="e">
        <f t="shared" si="19"/>
        <v>#DIV/0!</v>
      </c>
      <c r="H46" s="170" t="e">
        <f t="shared" ref="H46:J46" si="20">H15</f>
        <v>#DIV/0!</v>
      </c>
      <c r="I46" s="174">
        <f t="shared" si="20"/>
        <v>0</v>
      </c>
      <c r="J46" s="174" t="e">
        <f t="shared" si="20"/>
        <v>#DIV/0!</v>
      </c>
    </row>
    <row r="47" spans="1:11">
      <c r="A47" s="151"/>
      <c r="B47" s="13">
        <v>41</v>
      </c>
      <c r="C47" s="162" t="e">
        <f>C17</f>
        <v>#DIV/0!</v>
      </c>
      <c r="D47" s="162" t="e">
        <f>D17</f>
        <v>#DIV/0!</v>
      </c>
      <c r="E47" s="170" t="e">
        <f>E17</f>
        <v>#DIV/0!</v>
      </c>
      <c r="F47" s="170">
        <f t="shared" ref="F47:J47" si="21">F17</f>
        <v>0</v>
      </c>
      <c r="G47" s="170" t="e">
        <f t="shared" si="21"/>
        <v>#DIV/0!</v>
      </c>
      <c r="H47" s="170" t="e">
        <f t="shared" si="21"/>
        <v>#DIV/0!</v>
      </c>
      <c r="I47" s="174">
        <f t="shared" si="21"/>
        <v>0</v>
      </c>
      <c r="J47" s="174" t="e">
        <f t="shared" si="21"/>
        <v>#DIV/0!</v>
      </c>
    </row>
    <row r="48" spans="1:11">
      <c r="B48" s="13">
        <v>42</v>
      </c>
      <c r="C48" s="162" t="e">
        <f t="shared" ref="C48:C50" si="22">C18</f>
        <v>#DIV/0!</v>
      </c>
      <c r="D48" s="162">
        <f t="shared" ref="D48:E48" si="23">D18</f>
        <v>0</v>
      </c>
      <c r="E48" s="170" t="e">
        <f t="shared" si="23"/>
        <v>#DIV/0!</v>
      </c>
      <c r="F48" s="170">
        <f t="shared" ref="F48:G48" si="24">F18</f>
        <v>0</v>
      </c>
      <c r="G48" s="170" t="e">
        <f t="shared" si="24"/>
        <v>#DIV/0!</v>
      </c>
      <c r="H48" s="170" t="e">
        <f t="shared" ref="H48:J48" si="25">H18</f>
        <v>#DIV/0!</v>
      </c>
      <c r="I48" s="174">
        <f t="shared" si="25"/>
        <v>0</v>
      </c>
      <c r="J48" s="174" t="e">
        <f t="shared" si="25"/>
        <v>#DIV/0!</v>
      </c>
    </row>
    <row r="49" spans="1:10" ht="17">
      <c r="B49" s="151" t="s">
        <v>211</v>
      </c>
      <c r="C49" s="162">
        <f t="shared" si="22"/>
        <v>0</v>
      </c>
      <c r="D49" s="162">
        <f t="shared" ref="D49:E49" si="26">D19</f>
        <v>0</v>
      </c>
      <c r="E49" s="170">
        <f t="shared" si="26"/>
        <v>0</v>
      </c>
      <c r="F49" s="170" t="e">
        <f t="shared" ref="F49:G49" si="27">F19</f>
        <v>#DIV/0!</v>
      </c>
      <c r="G49" s="170" t="e">
        <f t="shared" si="27"/>
        <v>#DIV/0!</v>
      </c>
      <c r="H49" s="170" t="e">
        <f t="shared" ref="H49:J49" si="28">H19</f>
        <v>#DIV/0!</v>
      </c>
      <c r="I49" s="174">
        <f t="shared" si="28"/>
        <v>0</v>
      </c>
      <c r="J49" s="174" t="e">
        <f t="shared" si="28"/>
        <v>#DIV/0!</v>
      </c>
    </row>
    <row r="50" spans="1:10">
      <c r="B50" s="13">
        <v>5</v>
      </c>
      <c r="C50" s="162">
        <f t="shared" si="22"/>
        <v>0</v>
      </c>
      <c r="D50" s="162">
        <f t="shared" ref="D50:E50" si="29">D20</f>
        <v>0</v>
      </c>
      <c r="E50" s="170">
        <f t="shared" si="29"/>
        <v>0</v>
      </c>
      <c r="F50" s="170">
        <f t="shared" ref="F50:G50" si="30">F20</f>
        <v>0</v>
      </c>
      <c r="G50" s="170">
        <f t="shared" si="30"/>
        <v>0</v>
      </c>
      <c r="H50" s="170" t="e">
        <f t="shared" ref="H50:J50" si="31">H20</f>
        <v>#DIV/0!</v>
      </c>
      <c r="I50" s="174">
        <f t="shared" si="31"/>
        <v>0</v>
      </c>
      <c r="J50" s="174" t="e">
        <f t="shared" si="31"/>
        <v>#DIV/0!</v>
      </c>
    </row>
    <row r="51" spans="1:10" ht="17">
      <c r="B51" s="151" t="s">
        <v>212</v>
      </c>
      <c r="C51" s="163">
        <f>C25</f>
        <v>0</v>
      </c>
      <c r="D51" s="163">
        <f>D25</f>
        <v>0</v>
      </c>
      <c r="E51" s="171">
        <f>E25</f>
        <v>0</v>
      </c>
      <c r="F51" s="171" t="e">
        <f t="shared" ref="F51:J51" si="32">F25</f>
        <v>#DIV/0!</v>
      </c>
      <c r="G51" s="171" t="e">
        <f t="shared" si="32"/>
        <v>#DIV/0!</v>
      </c>
      <c r="H51" s="171" t="e">
        <f t="shared" si="32"/>
        <v>#DIV/0!</v>
      </c>
      <c r="I51" s="175">
        <f t="shared" si="32"/>
        <v>0</v>
      </c>
      <c r="J51" s="175" t="e">
        <f t="shared" si="32"/>
        <v>#DIV/0!</v>
      </c>
    </row>
    <row r="52" spans="1:10">
      <c r="B52" s="13">
        <v>6</v>
      </c>
      <c r="C52" s="163">
        <f t="shared" ref="C52:C54" si="33">C26</f>
        <v>0</v>
      </c>
      <c r="D52" s="163">
        <f t="shared" ref="D52:E52" si="34">D26</f>
        <v>0</v>
      </c>
      <c r="E52" s="171">
        <f t="shared" si="34"/>
        <v>0</v>
      </c>
      <c r="F52" s="171">
        <f t="shared" ref="F52:G52" si="35">F26</f>
        <v>0</v>
      </c>
      <c r="G52" s="171">
        <f t="shared" si="35"/>
        <v>0</v>
      </c>
      <c r="H52" s="171" t="e">
        <f t="shared" ref="H52:J52" si="36">H26</f>
        <v>#DIV/0!</v>
      </c>
      <c r="I52" s="175">
        <f t="shared" si="36"/>
        <v>0</v>
      </c>
      <c r="J52" s="175" t="e">
        <f t="shared" si="36"/>
        <v>#DIV/0!</v>
      </c>
    </row>
    <row r="53" spans="1:10">
      <c r="B53" s="13">
        <v>7</v>
      </c>
      <c r="C53" s="163">
        <f t="shared" si="33"/>
        <v>0</v>
      </c>
      <c r="D53" s="163">
        <f t="shared" ref="D53:E53" si="37">D27</f>
        <v>0</v>
      </c>
      <c r="E53" s="171">
        <f t="shared" si="37"/>
        <v>0</v>
      </c>
      <c r="F53" s="171">
        <f t="shared" ref="F53:G53" si="38">F27</f>
        <v>0</v>
      </c>
      <c r="G53" s="171">
        <f t="shared" si="38"/>
        <v>0</v>
      </c>
      <c r="H53" s="171" t="e">
        <f t="shared" ref="H53:J53" si="39">H27</f>
        <v>#DIV/0!</v>
      </c>
      <c r="I53" s="175">
        <f t="shared" si="39"/>
        <v>0</v>
      </c>
      <c r="J53" s="175" t="e">
        <f t="shared" si="39"/>
        <v>#DIV/0!</v>
      </c>
    </row>
    <row r="54" spans="1:10">
      <c r="A54" s="114"/>
      <c r="B54" s="13">
        <v>8</v>
      </c>
      <c r="C54" s="163">
        <f t="shared" si="33"/>
        <v>0</v>
      </c>
      <c r="D54" s="163">
        <f t="shared" ref="D54:E54" si="40">D28</f>
        <v>0</v>
      </c>
      <c r="E54" s="171">
        <f t="shared" si="40"/>
        <v>0</v>
      </c>
      <c r="F54" s="171">
        <f t="shared" ref="F54:G54" si="41">F28</f>
        <v>0</v>
      </c>
      <c r="G54" s="171">
        <f t="shared" si="41"/>
        <v>0</v>
      </c>
      <c r="H54" s="171" t="e">
        <f t="shared" ref="H54:J54" si="42">H28</f>
        <v>#DIV/0!</v>
      </c>
      <c r="I54" s="175">
        <f t="shared" si="42"/>
        <v>0</v>
      </c>
      <c r="J54" s="175" t="e">
        <f t="shared" si="42"/>
        <v>#DIV/0!</v>
      </c>
    </row>
    <row r="55" spans="1:10">
      <c r="B55" s="114" t="s">
        <v>213</v>
      </c>
      <c r="C55" s="164"/>
      <c r="D55" s="164"/>
      <c r="E55" s="165" t="e">
        <f>SUM(E43:E54)</f>
        <v>#DIV/0!</v>
      </c>
      <c r="F55" s="172"/>
      <c r="G55" s="196" t="e">
        <f>SUM(G43:G54)</f>
        <v>#DIV/0!</v>
      </c>
      <c r="H55" s="165" t="e">
        <f>G55/E55</f>
        <v>#DIV/0!</v>
      </c>
      <c r="I55" s="158"/>
      <c r="J55" s="176" t="e">
        <f>SUM(J43:J54)</f>
        <v>#DIV/0!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C3" sqref="C3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22</v>
      </c>
      <c r="C4" s="2" t="s">
        <v>0</v>
      </c>
      <c r="D4" s="2" t="s">
        <v>21</v>
      </c>
      <c r="E4" s="2" t="s">
        <v>2</v>
      </c>
      <c r="F4" s="2" t="s">
        <v>1</v>
      </c>
      <c r="G4" s="45" t="s">
        <v>71</v>
      </c>
      <c r="H4" s="42" t="s">
        <v>67</v>
      </c>
      <c r="I4" s="2" t="s">
        <v>23</v>
      </c>
      <c r="J4" s="43" t="s">
        <v>69</v>
      </c>
      <c r="K4" s="44" t="s">
        <v>70</v>
      </c>
      <c r="L4" s="2" t="s">
        <v>68</v>
      </c>
      <c r="M4" s="2" t="s">
        <v>3</v>
      </c>
      <c r="N4" s="10" t="s">
        <v>24</v>
      </c>
      <c r="O4" s="10" t="s">
        <v>4</v>
      </c>
    </row>
    <row r="5" spans="2:15">
      <c r="B5" s="7">
        <f>données!C9</f>
        <v>0</v>
      </c>
      <c r="C5" s="7">
        <f>données!E3</f>
        <v>0</v>
      </c>
      <c r="D5" s="40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83" t="e">
        <f>MIN(D5,D5*(données!$J$30-résistance_section!$H$31)/résistance_section!$H$31)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75" t="e">
        <f>N5/2</f>
        <v>#DIV/0!</v>
      </c>
    </row>
    <row r="6" spans="2:15">
      <c r="B6" s="8"/>
      <c r="C6" s="8"/>
      <c r="D6" s="41"/>
      <c r="E6" s="8"/>
      <c r="F6" s="8"/>
      <c r="G6" s="8"/>
      <c r="H6" s="8"/>
      <c r="I6" s="8"/>
      <c r="J6" s="32"/>
      <c r="K6" s="8"/>
      <c r="L6" s="8"/>
      <c r="M6" s="8"/>
      <c r="N6" s="8"/>
      <c r="O6" s="8"/>
    </row>
    <row r="7" spans="2:15">
      <c r="B7" s="8" t="s">
        <v>17</v>
      </c>
      <c r="C7" s="8"/>
      <c r="D7" s="41"/>
      <c r="E7" s="8"/>
      <c r="F7" s="8"/>
      <c r="G7" s="8"/>
      <c r="H7" s="8"/>
      <c r="I7" s="8"/>
      <c r="J7" s="32"/>
      <c r="K7" s="8"/>
      <c r="L7" s="8"/>
      <c r="M7" s="8"/>
      <c r="N7" s="8"/>
      <c r="O7" s="8"/>
    </row>
    <row r="8" spans="2:15">
      <c r="B8" s="8"/>
      <c r="C8" s="8"/>
      <c r="D8" s="41"/>
      <c r="E8" s="8"/>
      <c r="F8" s="8"/>
      <c r="G8" s="8"/>
      <c r="H8" s="8"/>
      <c r="I8" s="8"/>
      <c r="J8" s="32"/>
      <c r="K8" s="8"/>
      <c r="L8" s="8"/>
      <c r="M8" s="8"/>
      <c r="N8" s="8"/>
      <c r="O8" s="8"/>
    </row>
    <row r="9" spans="2:15" ht="17">
      <c r="B9" s="2" t="s">
        <v>22</v>
      </c>
      <c r="C9" s="2" t="s">
        <v>0</v>
      </c>
      <c r="D9" s="10" t="s">
        <v>21</v>
      </c>
      <c r="E9" s="2" t="s">
        <v>2</v>
      </c>
      <c r="F9" s="2" t="s">
        <v>1</v>
      </c>
      <c r="G9" s="45" t="s">
        <v>71</v>
      </c>
      <c r="H9" s="42" t="s">
        <v>67</v>
      </c>
      <c r="I9" s="2" t="s">
        <v>23</v>
      </c>
      <c r="J9" s="43" t="s">
        <v>69</v>
      </c>
      <c r="K9" s="44" t="s">
        <v>70</v>
      </c>
      <c r="L9" s="2" t="s">
        <v>68</v>
      </c>
      <c r="M9" s="2" t="s">
        <v>3</v>
      </c>
      <c r="N9" s="10" t="s">
        <v>24</v>
      </c>
      <c r="O9" s="10" t="s">
        <v>4</v>
      </c>
    </row>
    <row r="10" spans="2:15">
      <c r="B10" s="12">
        <f>données!$C$6*2</f>
        <v>0</v>
      </c>
      <c r="C10" s="7">
        <f>données!$E$3</f>
        <v>0</v>
      </c>
      <c r="D10" s="40">
        <f>données!$G$3</f>
        <v>0</v>
      </c>
      <c r="E10" s="7">
        <f>données!$H$3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83" t="e">
        <f>MIN(D10,D10*(données!$J$30-résistance_section!$H$31)/résistance_section!$H$31)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75" t="e">
        <f>N10/2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data</vt:lpstr>
      <vt:lpstr>données</vt:lpstr>
      <vt:lpstr>largeur_eff_semelle</vt:lpstr>
      <vt:lpstr>raidisseur</vt:lpstr>
      <vt:lpstr>largeur_eff_semelle bis</vt:lpstr>
      <vt:lpstr>raidisseur (bis)</vt:lpstr>
      <vt:lpstr>largeur_eff_ame</vt:lpstr>
      <vt:lpstr>résistance_section</vt:lpstr>
      <vt:lpstr>largeur_eff_semelle (2)</vt:lpstr>
      <vt:lpstr>raidisseur (2)</vt:lpstr>
      <vt:lpstr>largeur_eff_semelle bis (2)</vt:lpstr>
      <vt:lpstr>raidisseur (2bis)</vt:lpstr>
      <vt:lpstr>largeur_eff_ame (2)</vt:lpstr>
      <vt:lpstr>résistance_section (2)</vt:lpstr>
      <vt:lpstr>largeur_eff_semelle (3)</vt:lpstr>
      <vt:lpstr>raidisseur (3)</vt:lpstr>
      <vt:lpstr>largeur_eff_semelle bis (3)</vt:lpstr>
      <vt:lpstr>raidisseur (3bis)</vt:lpstr>
      <vt:lpstr>largeur_eff_ame (3)</vt:lpstr>
      <vt:lpstr>résistance_section (3)</vt:lpstr>
      <vt:lpstr>eff_tranchant</vt:lpstr>
      <vt:lpstr>reaction_appui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spconsultants</dc:creator>
  <cp:lastModifiedBy>ANNA Palisson</cp:lastModifiedBy>
  <cp:lastPrinted>2015-07-06T16:10:57Z</cp:lastPrinted>
  <dcterms:created xsi:type="dcterms:W3CDTF">2009-08-10T11:42:28Z</dcterms:created>
  <dcterms:modified xsi:type="dcterms:W3CDTF">2018-04-23T17:45:27Z</dcterms:modified>
</cp:coreProperties>
</file>