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workbookProtection workbookPassword="DDF1" lockStructure="1"/>
  <bookViews>
    <workbookView xWindow="1695" yWindow="0" windowWidth="20730" windowHeight="11760" tabRatio="684"/>
  </bookViews>
  <sheets>
    <sheet name="data" sheetId="24" r:id="rId1"/>
    <sheet name="données" sheetId="7" state="hidden" r:id="rId2"/>
    <sheet name="largeur_eff_semelle" sheetId="1" state="hidden" r:id="rId3"/>
    <sheet name="raidisseur" sheetId="2" state="hidden" r:id="rId4"/>
    <sheet name="largeur_eff_semelle bis" sheetId="18" state="hidden" r:id="rId5"/>
    <sheet name="raidisseur (bis)" sheetId="20" state="hidden" r:id="rId6"/>
    <sheet name="largeur_eff_ame" sheetId="3" state="hidden" r:id="rId7"/>
    <sheet name="résistance_section" sheetId="6" state="hidden" r:id="rId8"/>
    <sheet name="largeur_eff_semelle (2)" sheetId="10" state="hidden" r:id="rId9"/>
    <sheet name="raidisseur (2)" sheetId="11" state="hidden" r:id="rId10"/>
    <sheet name="largeur_eff_semelle bis (2)" sheetId="19" state="hidden" r:id="rId11"/>
    <sheet name="raidisseur (2bis)" sheetId="21" state="hidden" r:id="rId12"/>
    <sheet name="largeur_eff_ame (2)" sheetId="12" state="hidden" r:id="rId13"/>
    <sheet name="résistance_section (2)" sheetId="13" state="hidden" r:id="rId14"/>
    <sheet name="largeur_eff_semelle (3)" sheetId="14" state="hidden" r:id="rId15"/>
    <sheet name="raidisseur (3)" sheetId="15" state="hidden" r:id="rId16"/>
    <sheet name="largeur_eff_semelle bis (3)" sheetId="22" state="hidden" r:id="rId17"/>
    <sheet name="raidisseur (3bis)" sheetId="23" state="hidden" r:id="rId18"/>
    <sheet name="largeur_eff_ame (3)" sheetId="16" state="hidden" r:id="rId19"/>
    <sheet name="résistance_section (3)" sheetId="17" state="hidden" r:id="rId20"/>
    <sheet name="eff_tranchant" sheetId="8" state="hidden" r:id="rId21"/>
    <sheet name="reaction_appui" sheetId="9" state="hidden" r:id="rId22"/>
    <sheet name="Feuil1" sheetId="25" state="hidden" r:id="rId23"/>
  </sheets>
  <definedNames>
    <definedName name="_xlnm.Print_Area" localSheetId="1">données!$H$29:$N$45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7" l="1"/>
  <c r="L3" i="7"/>
  <c r="K3" i="7"/>
  <c r="J3" i="7"/>
  <c r="D41" i="24"/>
  <c r="Q14" i="24"/>
  <c r="D40" i="24"/>
  <c r="D39" i="24"/>
  <c r="D38" i="24"/>
  <c r="D37" i="24"/>
  <c r="H3" i="9"/>
  <c r="E3" i="7"/>
  <c r="E3" i="9"/>
  <c r="B19" i="9"/>
  <c r="B3" i="7"/>
  <c r="B3" i="9"/>
  <c r="J3" i="9"/>
  <c r="G3" i="7"/>
  <c r="F3" i="9"/>
  <c r="E24" i="9"/>
  <c r="E25" i="9"/>
  <c r="M3" i="7"/>
  <c r="J25" i="9"/>
  <c r="K25" i="9"/>
  <c r="C59" i="24"/>
  <c r="E26" i="9"/>
  <c r="J26" i="9"/>
  <c r="K26" i="9"/>
  <c r="C52" i="24"/>
  <c r="D8" i="24"/>
  <c r="E8" i="24"/>
  <c r="H8" i="24"/>
  <c r="I8" i="24"/>
  <c r="K14" i="24"/>
  <c r="B3" i="6"/>
  <c r="D22" i="6"/>
  <c r="C22" i="6"/>
  <c r="E22" i="6"/>
  <c r="F22" i="6"/>
  <c r="G22" i="6"/>
  <c r="D24" i="6"/>
  <c r="C24" i="6"/>
  <c r="E24" i="6"/>
  <c r="F24" i="6"/>
  <c r="G24" i="6"/>
  <c r="D6" i="7"/>
  <c r="E6" i="7"/>
  <c r="C6" i="7"/>
  <c r="C30" i="7"/>
  <c r="C11" i="6"/>
  <c r="D7" i="7"/>
  <c r="E7" i="7"/>
  <c r="C7" i="7"/>
  <c r="C31" i="7"/>
  <c r="C7" i="2"/>
  <c r="C7" i="20"/>
  <c r="D3" i="20"/>
  <c r="D7" i="20"/>
  <c r="E7" i="2"/>
  <c r="E7" i="20"/>
  <c r="F7" i="20"/>
  <c r="C8" i="2"/>
  <c r="C8" i="20"/>
  <c r="D8" i="20"/>
  <c r="E8" i="2"/>
  <c r="E8" i="20"/>
  <c r="F8" i="20"/>
  <c r="C9" i="2"/>
  <c r="C9" i="20"/>
  <c r="D9" i="20"/>
  <c r="E9" i="2"/>
  <c r="E9" i="20"/>
  <c r="F9" i="20"/>
  <c r="D3" i="2"/>
  <c r="C6" i="2"/>
  <c r="C6" i="20"/>
  <c r="D6" i="20"/>
  <c r="E6" i="20"/>
  <c r="F6" i="20"/>
  <c r="C10" i="2"/>
  <c r="C10" i="20"/>
  <c r="D10" i="20"/>
  <c r="E10" i="20"/>
  <c r="F10" i="20"/>
  <c r="F11" i="20"/>
  <c r="D11" i="20"/>
  <c r="G11" i="20"/>
  <c r="G6" i="20"/>
  <c r="H6" i="2"/>
  <c r="H6" i="20"/>
  <c r="I6" i="20"/>
  <c r="M31" i="7"/>
  <c r="H7" i="2"/>
  <c r="H7" i="20"/>
  <c r="G7" i="20"/>
  <c r="I7" i="20"/>
  <c r="G8" i="20"/>
  <c r="M32" i="7"/>
  <c r="H8" i="2"/>
  <c r="H8" i="20"/>
  <c r="I8" i="20"/>
  <c r="H9" i="2"/>
  <c r="H9" i="20"/>
  <c r="G9" i="20"/>
  <c r="I9" i="20"/>
  <c r="G10" i="20"/>
  <c r="M36" i="7"/>
  <c r="H10" i="2"/>
  <c r="H10" i="20"/>
  <c r="I10" i="20"/>
  <c r="I11" i="20"/>
  <c r="D8" i="7"/>
  <c r="E8" i="7"/>
  <c r="C8" i="7"/>
  <c r="C17" i="7"/>
  <c r="C18" i="7"/>
  <c r="B5" i="1"/>
  <c r="C3" i="2"/>
  <c r="C3" i="20"/>
  <c r="B3" i="2"/>
  <c r="B3" i="20"/>
  <c r="F23" i="20"/>
  <c r="N3" i="7"/>
  <c r="O3" i="7"/>
  <c r="E23" i="20"/>
  <c r="G23" i="20"/>
  <c r="B23" i="20"/>
  <c r="H23" i="20"/>
  <c r="I23" i="20"/>
  <c r="B5" i="18"/>
  <c r="C5" i="18"/>
  <c r="D5" i="18"/>
  <c r="H5" i="18"/>
  <c r="I5" i="18"/>
  <c r="D7" i="2"/>
  <c r="F7" i="2"/>
  <c r="D8" i="2"/>
  <c r="F8" i="2"/>
  <c r="D9" i="2"/>
  <c r="F9" i="2"/>
  <c r="D6" i="2"/>
  <c r="F6" i="2"/>
  <c r="D10" i="2"/>
  <c r="F10" i="2"/>
  <c r="F11" i="2"/>
  <c r="D11" i="2"/>
  <c r="G11" i="2"/>
  <c r="G6" i="2"/>
  <c r="I6" i="2"/>
  <c r="G7" i="2"/>
  <c r="I7" i="2"/>
  <c r="G8" i="2"/>
  <c r="I8" i="2"/>
  <c r="G9" i="2"/>
  <c r="I9" i="2"/>
  <c r="G10" i="2"/>
  <c r="I10" i="2"/>
  <c r="I11" i="2"/>
  <c r="F23" i="2"/>
  <c r="E23" i="2"/>
  <c r="G23" i="2"/>
  <c r="B23" i="2"/>
  <c r="H23" i="2"/>
  <c r="I23" i="2"/>
  <c r="C5" i="1"/>
  <c r="D5" i="1"/>
  <c r="H5" i="1"/>
  <c r="I5" i="1"/>
  <c r="J30" i="7"/>
  <c r="I30" i="7"/>
  <c r="K30" i="7"/>
  <c r="I31" i="7"/>
  <c r="J31" i="7"/>
  <c r="K31" i="7"/>
  <c r="C19" i="7"/>
  <c r="P14" i="24"/>
  <c r="C3" i="7"/>
  <c r="F17" i="7"/>
  <c r="F18" i="7"/>
  <c r="F19" i="7"/>
  <c r="C32" i="7"/>
  <c r="I32" i="7"/>
  <c r="J32" i="7"/>
  <c r="K32" i="7"/>
  <c r="C26" i="7"/>
  <c r="C33" i="7"/>
  <c r="I33" i="7"/>
  <c r="C27" i="7"/>
  <c r="J33" i="7"/>
  <c r="K33" i="7"/>
  <c r="D9" i="7"/>
  <c r="E9" i="7"/>
  <c r="C9" i="7"/>
  <c r="C21" i="7"/>
  <c r="C22" i="7"/>
  <c r="C34" i="7"/>
  <c r="I34" i="7"/>
  <c r="J34" i="7"/>
  <c r="K34" i="7"/>
  <c r="C23" i="7"/>
  <c r="C35" i="7"/>
  <c r="I35" i="7"/>
  <c r="J35" i="7"/>
  <c r="K35" i="7"/>
  <c r="D10" i="7"/>
  <c r="E10" i="7"/>
  <c r="C10" i="7"/>
  <c r="R14" i="24"/>
  <c r="D3" i="7"/>
  <c r="I17" i="7"/>
  <c r="I18" i="7"/>
  <c r="I19" i="7"/>
  <c r="C36" i="7"/>
  <c r="I36" i="7"/>
  <c r="J36" i="7"/>
  <c r="K36" i="7"/>
  <c r="I26" i="7"/>
  <c r="C37" i="7"/>
  <c r="I37" i="7"/>
  <c r="I27" i="7"/>
  <c r="J37" i="7"/>
  <c r="K37" i="7"/>
  <c r="D11" i="7"/>
  <c r="E11" i="7"/>
  <c r="C11" i="7"/>
  <c r="C38" i="7"/>
  <c r="I38" i="7"/>
  <c r="J38" i="7"/>
  <c r="K38" i="7"/>
  <c r="C39" i="7"/>
  <c r="I39" i="7"/>
  <c r="J39" i="7"/>
  <c r="K39" i="7"/>
  <c r="D12" i="7"/>
  <c r="E12" i="7"/>
  <c r="C12" i="7"/>
  <c r="C40" i="7"/>
  <c r="I40" i="7"/>
  <c r="J40" i="7"/>
  <c r="K40" i="7"/>
  <c r="C41" i="7"/>
  <c r="I41" i="7"/>
  <c r="J41" i="7"/>
  <c r="K41" i="7"/>
  <c r="D13" i="7"/>
  <c r="E13" i="7"/>
  <c r="C13" i="7"/>
  <c r="C42" i="7"/>
  <c r="I42" i="7"/>
  <c r="J42" i="7"/>
  <c r="K42" i="7"/>
  <c r="K45" i="7"/>
  <c r="I45" i="7"/>
  <c r="L45" i="7"/>
  <c r="J5" i="1"/>
  <c r="L5" i="1"/>
  <c r="M5" i="1"/>
  <c r="N5" i="1"/>
  <c r="O5" i="1"/>
  <c r="C14" i="2"/>
  <c r="D14" i="2"/>
  <c r="C15" i="2"/>
  <c r="D15" i="2"/>
  <c r="C16" i="2"/>
  <c r="D16" i="2"/>
  <c r="C17" i="2"/>
  <c r="D17" i="2"/>
  <c r="C18" i="2"/>
  <c r="D18" i="2"/>
  <c r="D19" i="2"/>
  <c r="H3" i="7"/>
  <c r="E3" i="2"/>
  <c r="B26" i="2"/>
  <c r="B29" i="2"/>
  <c r="C29" i="2"/>
  <c r="D29" i="2"/>
  <c r="E29" i="2"/>
  <c r="B32" i="2"/>
  <c r="J5" i="18"/>
  <c r="L5" i="18"/>
  <c r="M5" i="18"/>
  <c r="N5" i="18"/>
  <c r="O5" i="18"/>
  <c r="C14" i="20"/>
  <c r="D14" i="20"/>
  <c r="C15" i="20"/>
  <c r="D15" i="20"/>
  <c r="C16" i="20"/>
  <c r="D16" i="20"/>
  <c r="C17" i="20"/>
  <c r="D17" i="20"/>
  <c r="C18" i="20"/>
  <c r="D18" i="20"/>
  <c r="D19" i="20"/>
  <c r="E3" i="20"/>
  <c r="B26" i="20"/>
  <c r="B29" i="20"/>
  <c r="C29" i="20"/>
  <c r="D29" i="20"/>
  <c r="E29" i="20"/>
  <c r="B32" i="20"/>
  <c r="D11" i="6"/>
  <c r="E32" i="20"/>
  <c r="E11" i="6"/>
  <c r="F11" i="6"/>
  <c r="G11" i="6"/>
  <c r="C12" i="6"/>
  <c r="D12" i="6"/>
  <c r="E12" i="6"/>
  <c r="F12" i="6"/>
  <c r="G12" i="6"/>
  <c r="C13" i="6"/>
  <c r="D13" i="6"/>
  <c r="E13" i="6"/>
  <c r="F13" i="6"/>
  <c r="G13" i="6"/>
  <c r="B10" i="18"/>
  <c r="C10" i="18"/>
  <c r="D10" i="18"/>
  <c r="H10" i="18"/>
  <c r="I10" i="18"/>
  <c r="J10" i="18"/>
  <c r="L10" i="18"/>
  <c r="M10" i="18"/>
  <c r="N10" i="18"/>
  <c r="O10" i="18"/>
  <c r="C14" i="6"/>
  <c r="D14" i="6"/>
  <c r="E14" i="6"/>
  <c r="F14" i="6"/>
  <c r="G14" i="6"/>
  <c r="C15" i="6"/>
  <c r="D15" i="6"/>
  <c r="E15" i="6"/>
  <c r="F15" i="6"/>
  <c r="G15" i="6"/>
  <c r="C16" i="6"/>
  <c r="D16" i="6"/>
  <c r="E16" i="6"/>
  <c r="F16" i="6"/>
  <c r="G16" i="6"/>
  <c r="C17" i="6"/>
  <c r="D17" i="6"/>
  <c r="E17" i="6"/>
  <c r="F17" i="6"/>
  <c r="G17" i="6"/>
  <c r="C18" i="6"/>
  <c r="D18" i="6"/>
  <c r="E18" i="6"/>
  <c r="F18" i="6"/>
  <c r="G18" i="6"/>
  <c r="C19" i="6"/>
  <c r="D19" i="6"/>
  <c r="E19" i="6"/>
  <c r="F19" i="6"/>
  <c r="G19" i="6"/>
  <c r="C20" i="6"/>
  <c r="D20" i="6"/>
  <c r="E20" i="6"/>
  <c r="F20" i="6"/>
  <c r="G20" i="6"/>
  <c r="C25" i="6"/>
  <c r="D25" i="6"/>
  <c r="E25" i="6"/>
  <c r="F25" i="6"/>
  <c r="G25" i="6"/>
  <c r="C26" i="6"/>
  <c r="D26" i="6"/>
  <c r="E26" i="6"/>
  <c r="F26" i="6"/>
  <c r="G26" i="6"/>
  <c r="C27" i="6"/>
  <c r="D27" i="6"/>
  <c r="E27" i="6"/>
  <c r="F27" i="6"/>
  <c r="G27" i="6"/>
  <c r="C28" i="6"/>
  <c r="D28" i="6"/>
  <c r="E28" i="6"/>
  <c r="F28" i="6"/>
  <c r="G28" i="6"/>
  <c r="D21" i="6"/>
  <c r="C21" i="6"/>
  <c r="E21" i="6"/>
  <c r="F21" i="6"/>
  <c r="G21" i="6"/>
  <c r="D23" i="6"/>
  <c r="C23" i="6"/>
  <c r="E23" i="6"/>
  <c r="F23" i="6"/>
  <c r="G23" i="6"/>
  <c r="G31" i="6"/>
  <c r="E31" i="6"/>
  <c r="H31" i="6"/>
  <c r="D5" i="10"/>
  <c r="J5" i="10"/>
  <c r="B5" i="10"/>
  <c r="C5" i="10"/>
  <c r="H5" i="10"/>
  <c r="I5" i="10"/>
  <c r="L5" i="10"/>
  <c r="M5" i="10"/>
  <c r="N5" i="10"/>
  <c r="O5" i="10"/>
  <c r="C14" i="11"/>
  <c r="D3" i="11"/>
  <c r="D14" i="11"/>
  <c r="C18" i="11"/>
  <c r="D18" i="11"/>
  <c r="C7" i="11"/>
  <c r="C15" i="11"/>
  <c r="D15" i="11"/>
  <c r="C8" i="11"/>
  <c r="C16" i="11"/>
  <c r="D16" i="11"/>
  <c r="C9" i="11"/>
  <c r="C17" i="11"/>
  <c r="D17" i="11"/>
  <c r="D19" i="11"/>
  <c r="D7" i="11"/>
  <c r="E7" i="11"/>
  <c r="F7" i="11"/>
  <c r="D8" i="11"/>
  <c r="E8" i="11"/>
  <c r="F8" i="11"/>
  <c r="D9" i="11"/>
  <c r="E9" i="11"/>
  <c r="F9" i="11"/>
  <c r="C6" i="11"/>
  <c r="D6" i="11"/>
  <c r="E6" i="11"/>
  <c r="F6" i="11"/>
  <c r="C10" i="11"/>
  <c r="D10" i="11"/>
  <c r="E10" i="11"/>
  <c r="F10" i="11"/>
  <c r="F11" i="11"/>
  <c r="D11" i="11"/>
  <c r="G11" i="11"/>
  <c r="G6" i="11"/>
  <c r="H6" i="11"/>
  <c r="I6" i="11"/>
  <c r="H7" i="11"/>
  <c r="G7" i="11"/>
  <c r="I7" i="11"/>
  <c r="G8" i="11"/>
  <c r="H8" i="11"/>
  <c r="I8" i="11"/>
  <c r="H9" i="11"/>
  <c r="G9" i="11"/>
  <c r="I9" i="11"/>
  <c r="G10" i="11"/>
  <c r="H10" i="11"/>
  <c r="I10" i="11"/>
  <c r="I11" i="11"/>
  <c r="C3" i="11"/>
  <c r="B3" i="11"/>
  <c r="F23" i="11"/>
  <c r="E23" i="11"/>
  <c r="G23" i="11"/>
  <c r="B23" i="11"/>
  <c r="H23" i="11"/>
  <c r="I23" i="11"/>
  <c r="E3" i="11"/>
  <c r="B26" i="11"/>
  <c r="B29" i="11"/>
  <c r="C29" i="11"/>
  <c r="D29" i="11"/>
  <c r="E29" i="11"/>
  <c r="B32" i="11"/>
  <c r="D5" i="19"/>
  <c r="J5" i="19"/>
  <c r="B5" i="19"/>
  <c r="C5" i="19"/>
  <c r="H5" i="19"/>
  <c r="I5" i="19"/>
  <c r="L5" i="19"/>
  <c r="M5" i="19"/>
  <c r="N5" i="19"/>
  <c r="O5" i="19"/>
  <c r="C14" i="21"/>
  <c r="D3" i="21"/>
  <c r="D14" i="21"/>
  <c r="C18" i="21"/>
  <c r="D18" i="21"/>
  <c r="C7" i="21"/>
  <c r="C15" i="21"/>
  <c r="D15" i="21"/>
  <c r="C8" i="21"/>
  <c r="C16" i="21"/>
  <c r="D16" i="21"/>
  <c r="C9" i="21"/>
  <c r="C17" i="21"/>
  <c r="D17" i="21"/>
  <c r="D19" i="21"/>
  <c r="D7" i="21"/>
  <c r="E7" i="21"/>
  <c r="F7" i="21"/>
  <c r="D8" i="21"/>
  <c r="E8" i="21"/>
  <c r="F8" i="21"/>
  <c r="D9" i="21"/>
  <c r="E9" i="21"/>
  <c r="F9" i="21"/>
  <c r="C6" i="21"/>
  <c r="D6" i="21"/>
  <c r="E6" i="21"/>
  <c r="F6" i="21"/>
  <c r="C10" i="21"/>
  <c r="D10" i="21"/>
  <c r="E10" i="21"/>
  <c r="F10" i="21"/>
  <c r="F11" i="21"/>
  <c r="D11" i="21"/>
  <c r="G11" i="21"/>
  <c r="G6" i="21"/>
  <c r="H6" i="21"/>
  <c r="I6" i="21"/>
  <c r="H7" i="21"/>
  <c r="G7" i="21"/>
  <c r="I7" i="21"/>
  <c r="G8" i="21"/>
  <c r="H8" i="21"/>
  <c r="I8" i="21"/>
  <c r="H9" i="21"/>
  <c r="G9" i="21"/>
  <c r="I9" i="21"/>
  <c r="G10" i="21"/>
  <c r="H10" i="21"/>
  <c r="I10" i="21"/>
  <c r="I11" i="21"/>
  <c r="C3" i="21"/>
  <c r="B3" i="21"/>
  <c r="F23" i="21"/>
  <c r="E23" i="21"/>
  <c r="G23" i="21"/>
  <c r="B23" i="21"/>
  <c r="H23" i="21"/>
  <c r="I23" i="21"/>
  <c r="E3" i="21"/>
  <c r="B26" i="21"/>
  <c r="B29" i="21"/>
  <c r="C29" i="21"/>
  <c r="D29" i="21"/>
  <c r="E29" i="21"/>
  <c r="B32" i="21"/>
  <c r="B3" i="13"/>
  <c r="D11" i="13"/>
  <c r="E32" i="21"/>
  <c r="C11" i="13"/>
  <c r="E11" i="13"/>
  <c r="F11" i="13"/>
  <c r="G11" i="13"/>
  <c r="D12" i="13"/>
  <c r="C12" i="13"/>
  <c r="E12" i="13"/>
  <c r="F12" i="13"/>
  <c r="G12" i="13"/>
  <c r="C13" i="13"/>
  <c r="D13" i="13"/>
  <c r="E13" i="13"/>
  <c r="F13" i="13"/>
  <c r="G13" i="13"/>
  <c r="D10" i="19"/>
  <c r="J10" i="19"/>
  <c r="B10" i="19"/>
  <c r="C10" i="19"/>
  <c r="H10" i="19"/>
  <c r="I10" i="19"/>
  <c r="L10" i="19"/>
  <c r="M10" i="19"/>
  <c r="N10" i="19"/>
  <c r="O10" i="19"/>
  <c r="C14" i="13"/>
  <c r="D14" i="13"/>
  <c r="E14" i="13"/>
  <c r="F14" i="13"/>
  <c r="G14" i="13"/>
  <c r="D22" i="13"/>
  <c r="C22" i="13"/>
  <c r="E22" i="13"/>
  <c r="F22" i="13"/>
  <c r="G22" i="13"/>
  <c r="D24" i="13"/>
  <c r="C24" i="13"/>
  <c r="E24" i="13"/>
  <c r="F24" i="13"/>
  <c r="G24" i="13"/>
  <c r="C15" i="13"/>
  <c r="D15" i="13"/>
  <c r="E15" i="13"/>
  <c r="F15" i="13"/>
  <c r="G15" i="13"/>
  <c r="C16" i="13"/>
  <c r="D16" i="13"/>
  <c r="E16" i="13"/>
  <c r="F16" i="13"/>
  <c r="G16" i="13"/>
  <c r="C17" i="13"/>
  <c r="D17" i="13"/>
  <c r="E17" i="13"/>
  <c r="F17" i="13"/>
  <c r="G17" i="13"/>
  <c r="C18" i="13"/>
  <c r="D18" i="13"/>
  <c r="E18" i="13"/>
  <c r="F18" i="13"/>
  <c r="G18" i="13"/>
  <c r="C19" i="13"/>
  <c r="D19" i="13"/>
  <c r="E19" i="13"/>
  <c r="F19" i="13"/>
  <c r="G19" i="13"/>
  <c r="C20" i="13"/>
  <c r="D20" i="13"/>
  <c r="E20" i="13"/>
  <c r="F20" i="13"/>
  <c r="G20" i="13"/>
  <c r="C25" i="13"/>
  <c r="D25" i="13"/>
  <c r="E25" i="13"/>
  <c r="F25" i="13"/>
  <c r="G25" i="13"/>
  <c r="C26" i="13"/>
  <c r="D26" i="13"/>
  <c r="E26" i="13"/>
  <c r="F26" i="13"/>
  <c r="G26" i="13"/>
  <c r="C27" i="13"/>
  <c r="D27" i="13"/>
  <c r="E27" i="13"/>
  <c r="F27" i="13"/>
  <c r="G27" i="13"/>
  <c r="C28" i="13"/>
  <c r="D28" i="13"/>
  <c r="E28" i="13"/>
  <c r="F28" i="13"/>
  <c r="G28" i="13"/>
  <c r="D21" i="13"/>
  <c r="C21" i="13"/>
  <c r="E21" i="13"/>
  <c r="F21" i="13"/>
  <c r="G21" i="13"/>
  <c r="D23" i="13"/>
  <c r="C23" i="13"/>
  <c r="E23" i="13"/>
  <c r="F23" i="13"/>
  <c r="G23" i="13"/>
  <c r="G31" i="13"/>
  <c r="E31" i="13"/>
  <c r="H31" i="13"/>
  <c r="D5" i="14"/>
  <c r="J5" i="14"/>
  <c r="B5" i="14"/>
  <c r="C5" i="14"/>
  <c r="H5" i="14"/>
  <c r="I5" i="14"/>
  <c r="L5" i="14"/>
  <c r="M5" i="14"/>
  <c r="N5" i="14"/>
  <c r="O5" i="14"/>
  <c r="C14" i="15"/>
  <c r="D3" i="15"/>
  <c r="D14" i="15"/>
  <c r="C18" i="15"/>
  <c r="D18" i="15"/>
  <c r="C7" i="15"/>
  <c r="C15" i="15"/>
  <c r="D15" i="15"/>
  <c r="C8" i="15"/>
  <c r="C16" i="15"/>
  <c r="D16" i="15"/>
  <c r="C9" i="15"/>
  <c r="C17" i="15"/>
  <c r="D17" i="15"/>
  <c r="D19" i="15"/>
  <c r="D7" i="15"/>
  <c r="E7" i="15"/>
  <c r="F7" i="15"/>
  <c r="D8" i="15"/>
  <c r="E8" i="15"/>
  <c r="F8" i="15"/>
  <c r="D9" i="15"/>
  <c r="E9" i="15"/>
  <c r="F9" i="15"/>
  <c r="C6" i="15"/>
  <c r="D6" i="15"/>
  <c r="E6" i="15"/>
  <c r="F6" i="15"/>
  <c r="C10" i="15"/>
  <c r="D10" i="15"/>
  <c r="E10" i="15"/>
  <c r="F10" i="15"/>
  <c r="F11" i="15"/>
  <c r="D11" i="15"/>
  <c r="G11" i="15"/>
  <c r="G6" i="15"/>
  <c r="H6" i="15"/>
  <c r="I6" i="15"/>
  <c r="H7" i="15"/>
  <c r="G7" i="15"/>
  <c r="I7" i="15"/>
  <c r="G8" i="15"/>
  <c r="H8" i="15"/>
  <c r="I8" i="15"/>
  <c r="H9" i="15"/>
  <c r="G9" i="15"/>
  <c r="I9" i="15"/>
  <c r="G10" i="15"/>
  <c r="H10" i="15"/>
  <c r="I10" i="15"/>
  <c r="I11" i="15"/>
  <c r="C3" i="15"/>
  <c r="B3" i="15"/>
  <c r="F23" i="15"/>
  <c r="E23" i="15"/>
  <c r="G23" i="15"/>
  <c r="B23" i="15"/>
  <c r="H23" i="15"/>
  <c r="I23" i="15"/>
  <c r="E3" i="15"/>
  <c r="B26" i="15"/>
  <c r="B29" i="15"/>
  <c r="C29" i="15"/>
  <c r="D29" i="15"/>
  <c r="E29" i="15"/>
  <c r="B32" i="15"/>
  <c r="D5" i="22"/>
  <c r="J5" i="22"/>
  <c r="B5" i="22"/>
  <c r="C5" i="22"/>
  <c r="H5" i="22"/>
  <c r="I5" i="22"/>
  <c r="L5" i="22"/>
  <c r="M5" i="22"/>
  <c r="N5" i="22"/>
  <c r="O5" i="22"/>
  <c r="C14" i="23"/>
  <c r="D3" i="23"/>
  <c r="D14" i="23"/>
  <c r="C18" i="23"/>
  <c r="D18" i="23"/>
  <c r="C7" i="23"/>
  <c r="C15" i="23"/>
  <c r="D15" i="23"/>
  <c r="C8" i="23"/>
  <c r="C16" i="23"/>
  <c r="D16" i="23"/>
  <c r="C9" i="23"/>
  <c r="C17" i="23"/>
  <c r="D17" i="23"/>
  <c r="D19" i="23"/>
  <c r="D7" i="23"/>
  <c r="E7" i="23"/>
  <c r="F7" i="23"/>
  <c r="D8" i="23"/>
  <c r="E8" i="23"/>
  <c r="F8" i="23"/>
  <c r="D9" i="23"/>
  <c r="E9" i="23"/>
  <c r="F9" i="23"/>
  <c r="C6" i="23"/>
  <c r="D6" i="23"/>
  <c r="E6" i="23"/>
  <c r="F6" i="23"/>
  <c r="C10" i="23"/>
  <c r="D10" i="23"/>
  <c r="E10" i="23"/>
  <c r="F10" i="23"/>
  <c r="F11" i="23"/>
  <c r="D11" i="23"/>
  <c r="G11" i="23"/>
  <c r="G6" i="23"/>
  <c r="H6" i="23"/>
  <c r="I6" i="23"/>
  <c r="H7" i="23"/>
  <c r="G7" i="23"/>
  <c r="I7" i="23"/>
  <c r="G8" i="23"/>
  <c r="H8" i="23"/>
  <c r="I8" i="23"/>
  <c r="H9" i="23"/>
  <c r="G9" i="23"/>
  <c r="I9" i="23"/>
  <c r="G10" i="23"/>
  <c r="H10" i="23"/>
  <c r="I10" i="23"/>
  <c r="I11" i="23"/>
  <c r="C3" i="23"/>
  <c r="B3" i="23"/>
  <c r="F23" i="23"/>
  <c r="E23" i="23"/>
  <c r="G23" i="23"/>
  <c r="B23" i="23"/>
  <c r="H23" i="23"/>
  <c r="I23" i="23"/>
  <c r="E3" i="23"/>
  <c r="B26" i="23"/>
  <c r="B29" i="23"/>
  <c r="C29" i="23"/>
  <c r="D29" i="23"/>
  <c r="E29" i="23"/>
  <c r="B32" i="23"/>
  <c r="B3" i="17"/>
  <c r="D11" i="17"/>
  <c r="E32" i="23"/>
  <c r="C11" i="17"/>
  <c r="E11" i="17"/>
  <c r="F11" i="17"/>
  <c r="G11" i="17"/>
  <c r="D12" i="17"/>
  <c r="C12" i="17"/>
  <c r="E12" i="17"/>
  <c r="F12" i="17"/>
  <c r="G12" i="17"/>
  <c r="C13" i="17"/>
  <c r="D13" i="17"/>
  <c r="E13" i="17"/>
  <c r="F13" i="17"/>
  <c r="G13" i="17"/>
  <c r="D10" i="22"/>
  <c r="J10" i="22"/>
  <c r="B10" i="22"/>
  <c r="C10" i="22"/>
  <c r="H10" i="22"/>
  <c r="I10" i="22"/>
  <c r="L10" i="22"/>
  <c r="M10" i="22"/>
  <c r="N10" i="22"/>
  <c r="O10" i="22"/>
  <c r="C14" i="17"/>
  <c r="D14" i="17"/>
  <c r="E14" i="17"/>
  <c r="F14" i="17"/>
  <c r="G14" i="17"/>
  <c r="D22" i="17"/>
  <c r="C22" i="17"/>
  <c r="E22" i="17"/>
  <c r="F22" i="17"/>
  <c r="G22" i="17"/>
  <c r="D24" i="17"/>
  <c r="C24" i="17"/>
  <c r="E24" i="17"/>
  <c r="F24" i="17"/>
  <c r="G24" i="17"/>
  <c r="C15" i="17"/>
  <c r="D15" i="17"/>
  <c r="E15" i="17"/>
  <c r="F15" i="17"/>
  <c r="G15" i="17"/>
  <c r="C16" i="17"/>
  <c r="D16" i="17"/>
  <c r="E16" i="17"/>
  <c r="F16" i="17"/>
  <c r="G16" i="17"/>
  <c r="C17" i="17"/>
  <c r="D17" i="17"/>
  <c r="E17" i="17"/>
  <c r="F17" i="17"/>
  <c r="G17" i="17"/>
  <c r="C18" i="17"/>
  <c r="D18" i="17"/>
  <c r="E18" i="17"/>
  <c r="F18" i="17"/>
  <c r="G18" i="17"/>
  <c r="C19" i="17"/>
  <c r="D19" i="17"/>
  <c r="E19" i="17"/>
  <c r="F19" i="17"/>
  <c r="G19" i="17"/>
  <c r="C20" i="17"/>
  <c r="D20" i="17"/>
  <c r="E20" i="17"/>
  <c r="F20" i="17"/>
  <c r="G20" i="17"/>
  <c r="C25" i="17"/>
  <c r="D25" i="17"/>
  <c r="E25" i="17"/>
  <c r="F25" i="17"/>
  <c r="G25" i="17"/>
  <c r="C26" i="17"/>
  <c r="D26" i="17"/>
  <c r="E26" i="17"/>
  <c r="F26" i="17"/>
  <c r="G26" i="17"/>
  <c r="C27" i="17"/>
  <c r="D27" i="17"/>
  <c r="E27" i="17"/>
  <c r="F27" i="17"/>
  <c r="G27" i="17"/>
  <c r="C28" i="17"/>
  <c r="D28" i="17"/>
  <c r="E28" i="17"/>
  <c r="F28" i="17"/>
  <c r="G28" i="17"/>
  <c r="D21" i="17"/>
  <c r="C21" i="17"/>
  <c r="E21" i="17"/>
  <c r="F21" i="17"/>
  <c r="G21" i="17"/>
  <c r="D23" i="17"/>
  <c r="C23" i="17"/>
  <c r="E23" i="17"/>
  <c r="F23" i="17"/>
  <c r="G23" i="17"/>
  <c r="G31" i="17"/>
  <c r="E31" i="17"/>
  <c r="H31" i="17"/>
  <c r="H11" i="17"/>
  <c r="M30" i="7"/>
  <c r="I11" i="17"/>
  <c r="J11" i="17"/>
  <c r="H12" i="17"/>
  <c r="I12" i="17"/>
  <c r="J12" i="17"/>
  <c r="H13" i="17"/>
  <c r="I13" i="17"/>
  <c r="J13" i="17"/>
  <c r="H14" i="17"/>
  <c r="I14" i="17"/>
  <c r="J14" i="17"/>
  <c r="H15" i="17"/>
  <c r="J15" i="17"/>
  <c r="H16" i="17"/>
  <c r="M34" i="7"/>
  <c r="I16" i="17"/>
  <c r="J16" i="17"/>
  <c r="H17" i="17"/>
  <c r="J17" i="17"/>
  <c r="H18" i="17"/>
  <c r="I18" i="17"/>
  <c r="J18" i="17"/>
  <c r="H19" i="17"/>
  <c r="J19" i="17"/>
  <c r="H20" i="17"/>
  <c r="M38" i="7"/>
  <c r="I20" i="17"/>
  <c r="J20" i="17"/>
  <c r="H21" i="17"/>
  <c r="I21" i="17"/>
  <c r="J21" i="17"/>
  <c r="H22" i="17"/>
  <c r="I22" i="17"/>
  <c r="J22" i="17"/>
  <c r="H23" i="17"/>
  <c r="I23" i="17"/>
  <c r="J23" i="17"/>
  <c r="H24" i="17"/>
  <c r="I24" i="17"/>
  <c r="J24" i="17"/>
  <c r="H25" i="17"/>
  <c r="L17" i="7"/>
  <c r="J25" i="17"/>
  <c r="H26" i="17"/>
  <c r="M40" i="7"/>
  <c r="I26" i="17"/>
  <c r="J26" i="17"/>
  <c r="H27" i="17"/>
  <c r="J27" i="17"/>
  <c r="H28" i="17"/>
  <c r="M42" i="7"/>
  <c r="I28" i="17"/>
  <c r="J28" i="17"/>
  <c r="J31" i="17"/>
  <c r="H32" i="17"/>
  <c r="C33" i="17"/>
  <c r="C34" i="17"/>
  <c r="C35" i="17"/>
  <c r="D3" i="17"/>
  <c r="B38" i="17"/>
  <c r="B39" i="17"/>
  <c r="B52" i="24"/>
  <c r="P3" i="7"/>
  <c r="F26" i="7"/>
  <c r="C24" i="7"/>
  <c r="C24" i="24"/>
  <c r="J60" i="24"/>
  <c r="B59" i="24"/>
  <c r="D59" i="24"/>
  <c r="K59" i="24"/>
  <c r="J59" i="24"/>
  <c r="E59" i="24"/>
  <c r="G59" i="24"/>
  <c r="F59" i="24"/>
  <c r="L58" i="24"/>
  <c r="K58" i="24"/>
  <c r="J58" i="24"/>
  <c r="M57" i="24"/>
  <c r="L57" i="24"/>
  <c r="K57" i="24"/>
  <c r="J53" i="24"/>
  <c r="D52" i="24"/>
  <c r="K52" i="24"/>
  <c r="J52" i="24"/>
  <c r="E52" i="24"/>
  <c r="G52" i="24"/>
  <c r="F52" i="24"/>
  <c r="L51" i="24"/>
  <c r="K51" i="24"/>
  <c r="J51" i="24"/>
  <c r="M50" i="24"/>
  <c r="L50" i="24"/>
  <c r="K50" i="24"/>
  <c r="C23" i="24"/>
  <c r="C22" i="24"/>
  <c r="C21" i="24"/>
  <c r="C20" i="24"/>
  <c r="C19" i="24"/>
  <c r="C18" i="24"/>
  <c r="C17" i="24"/>
  <c r="L18" i="7"/>
  <c r="L19" i="7"/>
  <c r="L26" i="7"/>
  <c r="L27" i="7"/>
  <c r="E32" i="2"/>
  <c r="C32" i="2"/>
  <c r="I15" i="17"/>
  <c r="I17" i="17"/>
  <c r="I19" i="17"/>
  <c r="H15" i="13"/>
  <c r="J15" i="13"/>
  <c r="H28" i="13"/>
  <c r="I28" i="13"/>
  <c r="J28" i="13"/>
  <c r="H27" i="13"/>
  <c r="J27" i="13"/>
  <c r="H26" i="13"/>
  <c r="I26" i="13"/>
  <c r="J26" i="13"/>
  <c r="H25" i="13"/>
  <c r="J25" i="13"/>
  <c r="H24" i="13"/>
  <c r="I24" i="13"/>
  <c r="J24" i="13"/>
  <c r="H23" i="13"/>
  <c r="I23" i="13"/>
  <c r="J23" i="13"/>
  <c r="H22" i="13"/>
  <c r="I22" i="13"/>
  <c r="J22" i="13"/>
  <c r="H21" i="13"/>
  <c r="I21" i="13"/>
  <c r="J21" i="13"/>
  <c r="H20" i="13"/>
  <c r="I20" i="13"/>
  <c r="J20" i="13"/>
  <c r="H19" i="13"/>
  <c r="J19" i="13"/>
  <c r="H18" i="13"/>
  <c r="I18" i="13"/>
  <c r="J18" i="13"/>
  <c r="H17" i="13"/>
  <c r="J17" i="13"/>
  <c r="H16" i="13"/>
  <c r="I16" i="13"/>
  <c r="J16" i="13"/>
  <c r="H12" i="13"/>
  <c r="I12" i="13"/>
  <c r="J12" i="13"/>
  <c r="H13" i="13"/>
  <c r="I13" i="13"/>
  <c r="J13" i="13"/>
  <c r="H14" i="13"/>
  <c r="I14" i="13"/>
  <c r="J14" i="13"/>
  <c r="H25" i="6"/>
  <c r="J25" i="6"/>
  <c r="L30" i="7"/>
  <c r="N30" i="7"/>
  <c r="L31" i="7"/>
  <c r="N31" i="7"/>
  <c r="L32" i="7"/>
  <c r="N32" i="7"/>
  <c r="L33" i="7"/>
  <c r="N33" i="7"/>
  <c r="L34" i="7"/>
  <c r="N34" i="7"/>
  <c r="L35" i="7"/>
  <c r="N35" i="7"/>
  <c r="L36" i="7"/>
  <c r="N36" i="7"/>
  <c r="L37" i="7"/>
  <c r="N37" i="7"/>
  <c r="L38" i="7"/>
  <c r="N38" i="7"/>
  <c r="L39" i="7"/>
  <c r="N39" i="7"/>
  <c r="L40" i="7"/>
  <c r="N40" i="7"/>
  <c r="L41" i="7"/>
  <c r="N41" i="7"/>
  <c r="L42" i="7"/>
  <c r="N42" i="7"/>
  <c r="N45" i="7"/>
  <c r="H17" i="6"/>
  <c r="J17" i="6"/>
  <c r="H19" i="6"/>
  <c r="J19" i="6"/>
  <c r="H27" i="6"/>
  <c r="J27" i="6"/>
  <c r="H15" i="6"/>
  <c r="J15" i="6"/>
  <c r="H14" i="6"/>
  <c r="I14" i="6"/>
  <c r="J14" i="6"/>
  <c r="H12" i="6"/>
  <c r="I12" i="6"/>
  <c r="J12" i="6"/>
  <c r="I13" i="6"/>
  <c r="H11" i="6"/>
  <c r="D3" i="12"/>
  <c r="F3" i="12"/>
  <c r="B3" i="12"/>
  <c r="C3" i="12"/>
  <c r="B6" i="12"/>
  <c r="C6" i="12"/>
  <c r="D6" i="12"/>
  <c r="E6" i="12"/>
  <c r="G3" i="16"/>
  <c r="G3" i="12"/>
  <c r="G3" i="3"/>
  <c r="D3" i="16"/>
  <c r="F3" i="16"/>
  <c r="D3" i="3"/>
  <c r="F3" i="3"/>
  <c r="D23" i="23"/>
  <c r="D23" i="15"/>
  <c r="D23" i="21"/>
  <c r="D23" i="11"/>
  <c r="D23" i="20"/>
  <c r="D23" i="2"/>
  <c r="L46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D15" i="7"/>
  <c r="I11" i="6"/>
  <c r="J11" i="6"/>
  <c r="H13" i="6"/>
  <c r="J13" i="6"/>
  <c r="H16" i="6"/>
  <c r="I16" i="6"/>
  <c r="J16" i="6"/>
  <c r="H18" i="6"/>
  <c r="I18" i="6"/>
  <c r="J18" i="6"/>
  <c r="H20" i="6"/>
  <c r="I20" i="6"/>
  <c r="J20" i="6"/>
  <c r="H21" i="6"/>
  <c r="I21" i="6"/>
  <c r="J21" i="6"/>
  <c r="H22" i="6"/>
  <c r="I22" i="6"/>
  <c r="J22" i="6"/>
  <c r="H23" i="6"/>
  <c r="I23" i="6"/>
  <c r="J23" i="6"/>
  <c r="H24" i="6"/>
  <c r="I24" i="6"/>
  <c r="J24" i="6"/>
  <c r="H26" i="6"/>
  <c r="I26" i="6"/>
  <c r="J26" i="6"/>
  <c r="H28" i="6"/>
  <c r="I28" i="6"/>
  <c r="J28" i="6"/>
  <c r="J31" i="6"/>
  <c r="H32" i="6"/>
  <c r="C33" i="6"/>
  <c r="I27" i="17"/>
  <c r="D39" i="17"/>
  <c r="H11" i="13"/>
  <c r="I11" i="13"/>
  <c r="J11" i="13"/>
  <c r="J31" i="13"/>
  <c r="H32" i="13"/>
  <c r="C33" i="13"/>
  <c r="E32" i="15"/>
  <c r="G32" i="15"/>
  <c r="G32" i="23"/>
  <c r="C32" i="23"/>
  <c r="F3" i="23"/>
  <c r="E10" i="22"/>
  <c r="E5" i="22"/>
  <c r="N46" i="7"/>
  <c r="N47" i="7"/>
  <c r="I46" i="7"/>
  <c r="I47" i="7"/>
  <c r="G32" i="21"/>
  <c r="C32" i="21"/>
  <c r="F3" i="21"/>
  <c r="G32" i="20"/>
  <c r="C32" i="20"/>
  <c r="F3" i="20"/>
  <c r="E32" i="11"/>
  <c r="G32" i="11"/>
  <c r="G32" i="2"/>
  <c r="C34" i="13"/>
  <c r="C35" i="13"/>
  <c r="D3" i="13"/>
  <c r="B38" i="13"/>
  <c r="B39" i="13"/>
  <c r="B3" i="3"/>
  <c r="C3" i="3"/>
  <c r="B6" i="3"/>
  <c r="C6" i="3"/>
  <c r="D6" i="3"/>
  <c r="E6" i="3"/>
  <c r="E10" i="19"/>
  <c r="E5" i="19"/>
  <c r="E10" i="18"/>
  <c r="E5" i="18"/>
  <c r="D39" i="13"/>
  <c r="C34" i="6"/>
  <c r="C35" i="6"/>
  <c r="D3" i="6"/>
  <c r="B38" i="6"/>
  <c r="J32" i="6"/>
  <c r="J33" i="6"/>
  <c r="J32" i="17"/>
  <c r="J33" i="17"/>
  <c r="K37" i="17"/>
  <c r="E38" i="17"/>
  <c r="F27" i="7"/>
  <c r="E38" i="6"/>
  <c r="I3" i="9"/>
  <c r="J24" i="9"/>
  <c r="C12" i="9"/>
  <c r="K24" i="9"/>
  <c r="F19" i="9"/>
  <c r="C19" i="9"/>
  <c r="C11" i="3"/>
  <c r="D11" i="3"/>
  <c r="F11" i="3"/>
  <c r="C14" i="3"/>
  <c r="D14" i="3"/>
  <c r="F14" i="3"/>
  <c r="C15" i="3"/>
  <c r="D15" i="3"/>
  <c r="E15" i="3"/>
  <c r="F15" i="3"/>
  <c r="C12" i="3"/>
  <c r="D12" i="3"/>
  <c r="E12" i="3"/>
  <c r="F12" i="3"/>
  <c r="C13" i="3"/>
  <c r="D13" i="3"/>
  <c r="E13" i="3"/>
  <c r="F13" i="3"/>
  <c r="C16" i="3"/>
  <c r="D16" i="3"/>
  <c r="E16" i="3"/>
  <c r="F16" i="3"/>
  <c r="C17" i="3"/>
  <c r="D17" i="3"/>
  <c r="E17" i="3"/>
  <c r="F17" i="3"/>
  <c r="C18" i="3"/>
  <c r="D18" i="3"/>
  <c r="E18" i="3"/>
  <c r="F18" i="3"/>
  <c r="C19" i="3"/>
  <c r="D19" i="3"/>
  <c r="E19" i="3"/>
  <c r="F19" i="3"/>
  <c r="C20" i="3"/>
  <c r="D20" i="3"/>
  <c r="E20" i="3"/>
  <c r="F20" i="3"/>
  <c r="F21" i="3"/>
  <c r="D21" i="3"/>
  <c r="G21" i="3"/>
  <c r="B24" i="3"/>
  <c r="C24" i="3"/>
  <c r="B27" i="3"/>
  <c r="C27" i="3"/>
  <c r="D27" i="3"/>
  <c r="E27" i="3"/>
  <c r="G27" i="3"/>
  <c r="D57" i="7"/>
  <c r="D58" i="7"/>
  <c r="D54" i="17"/>
  <c r="D51" i="17"/>
  <c r="D50" i="17"/>
  <c r="D49" i="17"/>
  <c r="D48" i="17"/>
  <c r="C46" i="17"/>
  <c r="C47" i="17"/>
  <c r="C48" i="17"/>
  <c r="N27" i="17"/>
  <c r="I25" i="17"/>
  <c r="N25" i="17"/>
  <c r="N19" i="17"/>
  <c r="N17" i="17"/>
  <c r="N16" i="17"/>
  <c r="N14" i="17"/>
  <c r="N12" i="17"/>
  <c r="N11" i="17"/>
  <c r="C3" i="17"/>
  <c r="B6" i="17"/>
  <c r="C6" i="17"/>
  <c r="B27" i="16"/>
  <c r="B24" i="16"/>
  <c r="E20" i="16"/>
  <c r="C20" i="16"/>
  <c r="B3" i="16"/>
  <c r="D20" i="16"/>
  <c r="F20" i="16"/>
  <c r="E19" i="16"/>
  <c r="C19" i="16"/>
  <c r="D19" i="16"/>
  <c r="F19" i="16"/>
  <c r="E18" i="16"/>
  <c r="E17" i="16"/>
  <c r="E16" i="16"/>
  <c r="E15" i="16"/>
  <c r="E13" i="16"/>
  <c r="C13" i="16"/>
  <c r="D13" i="16"/>
  <c r="F13" i="16"/>
  <c r="E12" i="16"/>
  <c r="C12" i="16"/>
  <c r="D12" i="16"/>
  <c r="F12" i="16"/>
  <c r="C3" i="16"/>
  <c r="F3" i="15"/>
  <c r="E5" i="14"/>
  <c r="D54" i="13"/>
  <c r="D50" i="13"/>
  <c r="C46" i="13"/>
  <c r="C47" i="13"/>
  <c r="C48" i="13"/>
  <c r="N27" i="13"/>
  <c r="N25" i="13"/>
  <c r="N19" i="13"/>
  <c r="N17" i="13"/>
  <c r="N16" i="13"/>
  <c r="N14" i="13"/>
  <c r="N12" i="13"/>
  <c r="N11" i="13"/>
  <c r="C3" i="13"/>
  <c r="B6" i="13"/>
  <c r="C6" i="13"/>
  <c r="B27" i="12"/>
  <c r="B24" i="12"/>
  <c r="E20" i="12"/>
  <c r="C20" i="12"/>
  <c r="D20" i="12"/>
  <c r="F20" i="12"/>
  <c r="E19" i="12"/>
  <c r="C19" i="12"/>
  <c r="D19" i="12"/>
  <c r="F19" i="12"/>
  <c r="E18" i="12"/>
  <c r="E17" i="12"/>
  <c r="E16" i="12"/>
  <c r="E15" i="12"/>
  <c r="E13" i="12"/>
  <c r="C13" i="12"/>
  <c r="D13" i="12"/>
  <c r="F13" i="12"/>
  <c r="E12" i="12"/>
  <c r="C12" i="12"/>
  <c r="D12" i="12"/>
  <c r="F12" i="12"/>
  <c r="F3" i="11"/>
  <c r="E5" i="10"/>
  <c r="D47" i="17"/>
  <c r="D46" i="17"/>
  <c r="C51" i="17"/>
  <c r="C51" i="13"/>
  <c r="D49" i="13"/>
  <c r="D48" i="13"/>
  <c r="D51" i="13"/>
  <c r="C54" i="17"/>
  <c r="D45" i="17"/>
  <c r="D44" i="17"/>
  <c r="D47" i="13"/>
  <c r="D46" i="13"/>
  <c r="C54" i="13"/>
  <c r="C55" i="17"/>
  <c r="C55" i="13"/>
  <c r="D45" i="13"/>
  <c r="D44" i="13"/>
  <c r="C59" i="17"/>
  <c r="C60" i="17"/>
  <c r="C61" i="17"/>
  <c r="C59" i="13"/>
  <c r="C60" i="13"/>
  <c r="C61" i="13"/>
  <c r="D6" i="9"/>
  <c r="E6" i="9"/>
  <c r="D7" i="9"/>
  <c r="E7" i="9"/>
  <c r="D8" i="9"/>
  <c r="E8" i="9"/>
  <c r="D9" i="9"/>
  <c r="E9" i="9"/>
  <c r="D10" i="9"/>
  <c r="D11" i="9"/>
  <c r="D12" i="9"/>
  <c r="D13" i="9"/>
  <c r="E13" i="9"/>
  <c r="C7" i="9"/>
  <c r="C8" i="9"/>
  <c r="C9" i="9"/>
  <c r="C13" i="9"/>
  <c r="C6" i="9"/>
  <c r="B3" i="8"/>
  <c r="G13" i="8"/>
  <c r="F22" i="7"/>
  <c r="F25" i="7"/>
  <c r="F21" i="7"/>
  <c r="F24" i="7"/>
  <c r="F20" i="7"/>
  <c r="F23" i="7"/>
  <c r="D56" i="7"/>
  <c r="D53" i="7"/>
  <c r="D55" i="7"/>
  <c r="N15" i="17"/>
  <c r="N15" i="13"/>
  <c r="N13" i="13"/>
  <c r="N13" i="17"/>
  <c r="D54" i="7"/>
  <c r="E10" i="9"/>
  <c r="E12" i="9"/>
  <c r="C16" i="16"/>
  <c r="D16" i="16"/>
  <c r="F16" i="16"/>
  <c r="C16" i="12"/>
  <c r="D16" i="12"/>
  <c r="F16" i="12"/>
  <c r="C10" i="9"/>
  <c r="C3" i="8"/>
  <c r="C18" i="16"/>
  <c r="D18" i="16"/>
  <c r="F18" i="16"/>
  <c r="C18" i="12"/>
  <c r="D18" i="12"/>
  <c r="F18" i="12"/>
  <c r="E3" i="8"/>
  <c r="C9" i="8"/>
  <c r="N20" i="17"/>
  <c r="N20" i="13"/>
  <c r="I21" i="7"/>
  <c r="I24" i="7"/>
  <c r="N19" i="6"/>
  <c r="N13" i="6"/>
  <c r="D54" i="6"/>
  <c r="D49" i="6"/>
  <c r="D48" i="6"/>
  <c r="C46" i="6"/>
  <c r="C47" i="6"/>
  <c r="C48" i="6"/>
  <c r="C53" i="7"/>
  <c r="C54" i="7"/>
  <c r="C55" i="7"/>
  <c r="C56" i="7"/>
  <c r="C57" i="7"/>
  <c r="D51" i="6"/>
  <c r="D50" i="6"/>
  <c r="D46" i="6"/>
  <c r="D47" i="6"/>
  <c r="N27" i="6"/>
  <c r="C3" i="6"/>
  <c r="N15" i="6"/>
  <c r="N16" i="6"/>
  <c r="N11" i="6"/>
  <c r="D44" i="6"/>
  <c r="D45" i="6"/>
  <c r="F3" i="2"/>
  <c r="E5" i="1"/>
  <c r="B6" i="6"/>
  <c r="C6" i="6"/>
  <c r="N17" i="6"/>
  <c r="I20" i="7"/>
  <c r="I23" i="7"/>
  <c r="C51" i="6"/>
  <c r="C54" i="6"/>
  <c r="C55" i="6"/>
  <c r="C59" i="6"/>
  <c r="C60" i="6"/>
  <c r="C61" i="6"/>
  <c r="N12" i="6"/>
  <c r="N18" i="6"/>
  <c r="N20" i="6"/>
  <c r="N25" i="6"/>
  <c r="C17" i="16"/>
  <c r="D17" i="16"/>
  <c r="F17" i="16"/>
  <c r="C17" i="12"/>
  <c r="D17" i="12"/>
  <c r="F17" i="12"/>
  <c r="E11" i="9"/>
  <c r="C11" i="9"/>
  <c r="C45" i="7"/>
  <c r="C46" i="7"/>
  <c r="N26" i="17"/>
  <c r="N26" i="13"/>
  <c r="H3" i="16"/>
  <c r="E6" i="16"/>
  <c r="H3" i="12"/>
  <c r="N26" i="6"/>
  <c r="E15" i="7"/>
  <c r="C58" i="7"/>
  <c r="C59" i="7"/>
  <c r="I22" i="7"/>
  <c r="I25" i="7"/>
  <c r="D19" i="9"/>
  <c r="H3" i="3"/>
  <c r="M25" i="9"/>
  <c r="M24" i="9"/>
  <c r="L22" i="7"/>
  <c r="L25" i="7"/>
  <c r="O24" i="9"/>
  <c r="L20" i="7"/>
  <c r="L23" i="7"/>
  <c r="L21" i="7"/>
  <c r="L24" i="7"/>
  <c r="G3" i="8"/>
  <c r="D3" i="8"/>
  <c r="B6" i="8"/>
  <c r="D52" i="17"/>
  <c r="C52" i="17"/>
  <c r="C52" i="13"/>
  <c r="D52" i="13"/>
  <c r="C45" i="17"/>
  <c r="C45" i="13"/>
  <c r="C14" i="16"/>
  <c r="D14" i="16"/>
  <c r="F14" i="16"/>
  <c r="C15" i="12"/>
  <c r="D15" i="12"/>
  <c r="F15" i="12"/>
  <c r="C15" i="16"/>
  <c r="D15" i="16"/>
  <c r="F15" i="16"/>
  <c r="C14" i="12"/>
  <c r="D14" i="12"/>
  <c r="F14" i="12"/>
  <c r="C50" i="13"/>
  <c r="C49" i="17"/>
  <c r="C50" i="17"/>
  <c r="C49" i="13"/>
  <c r="P41" i="7"/>
  <c r="A9" i="8"/>
  <c r="C45" i="6"/>
  <c r="C49" i="6"/>
  <c r="C50" i="6"/>
  <c r="D52" i="6"/>
  <c r="C52" i="6"/>
  <c r="C11" i="12"/>
  <c r="D11" i="12"/>
  <c r="D21" i="12"/>
  <c r="C11" i="16"/>
  <c r="D11" i="16"/>
  <c r="D21" i="16"/>
  <c r="B9" i="8"/>
  <c r="B13" i="8"/>
  <c r="C13" i="8"/>
  <c r="D13" i="8"/>
  <c r="E13" i="8"/>
  <c r="H13" i="8"/>
  <c r="F11" i="16"/>
  <c r="F21" i="16"/>
  <c r="G21" i="16"/>
  <c r="E27" i="16"/>
  <c r="F11" i="12"/>
  <c r="F21" i="12"/>
  <c r="G21" i="12"/>
  <c r="E27" i="12"/>
  <c r="F27" i="3"/>
  <c r="D6" i="17"/>
  <c r="D6" i="13"/>
  <c r="D53" i="17"/>
  <c r="D53" i="13"/>
  <c r="C53" i="13"/>
  <c r="C53" i="17"/>
  <c r="C58" i="6"/>
  <c r="D58" i="17"/>
  <c r="D58" i="13"/>
  <c r="C58" i="17"/>
  <c r="C58" i="13"/>
  <c r="D53" i="6"/>
  <c r="H24" i="3"/>
  <c r="D57" i="6"/>
  <c r="D58" i="6"/>
  <c r="C53" i="6"/>
  <c r="D6" i="6"/>
  <c r="C57" i="17"/>
  <c r="D57" i="17"/>
  <c r="D56" i="17"/>
  <c r="E6" i="13"/>
  <c r="D56" i="13"/>
  <c r="E6" i="17"/>
  <c r="C56" i="17"/>
  <c r="C56" i="13"/>
  <c r="C57" i="13"/>
  <c r="D57" i="13"/>
  <c r="E6" i="6"/>
  <c r="C56" i="6"/>
  <c r="D56" i="6"/>
  <c r="C57" i="6"/>
  <c r="O11" i="6"/>
  <c r="O19" i="6"/>
  <c r="O18" i="6"/>
  <c r="O20" i="6"/>
  <c r="O13" i="6"/>
  <c r="O17" i="6"/>
  <c r="O26" i="6"/>
  <c r="O16" i="6"/>
  <c r="O25" i="6"/>
  <c r="O27" i="6"/>
  <c r="O15" i="6"/>
  <c r="C24" i="12"/>
  <c r="O12" i="6"/>
  <c r="C27" i="12"/>
  <c r="D27" i="12"/>
  <c r="G27" i="12"/>
  <c r="F27" i="12"/>
  <c r="H24" i="12"/>
  <c r="O31" i="6"/>
  <c r="B39" i="6"/>
  <c r="O32" i="6"/>
  <c r="C32" i="11"/>
  <c r="O19" i="13"/>
  <c r="O12" i="13"/>
  <c r="O13" i="13"/>
  <c r="O20" i="13"/>
  <c r="O27" i="13"/>
  <c r="O16" i="13"/>
  <c r="O15" i="13"/>
  <c r="O26" i="13"/>
  <c r="O25" i="13"/>
  <c r="O14" i="13"/>
  <c r="O17" i="13"/>
  <c r="O11" i="13"/>
  <c r="B6" i="16"/>
  <c r="C6" i="16"/>
  <c r="C24" i="16"/>
  <c r="D27" i="16"/>
  <c r="C27" i="16"/>
  <c r="H24" i="16"/>
  <c r="F27" i="16"/>
  <c r="G27" i="16"/>
  <c r="O31" i="13"/>
  <c r="J32" i="13"/>
  <c r="O32" i="13"/>
  <c r="J33" i="13"/>
  <c r="C32" i="15"/>
  <c r="O27" i="17"/>
  <c r="O16" i="17"/>
  <c r="O17" i="17"/>
  <c r="O25" i="17"/>
  <c r="O14" i="17"/>
  <c r="O15" i="17"/>
  <c r="O19" i="17"/>
  <c r="O12" i="17"/>
  <c r="O26" i="17"/>
  <c r="O13" i="17"/>
  <c r="O20" i="17"/>
  <c r="O11" i="17"/>
  <c r="O31" i="17"/>
  <c r="O32" i="17"/>
</calcChain>
</file>

<file path=xl/sharedStrings.xml><?xml version="1.0" encoding="utf-8"?>
<sst xmlns="http://schemas.openxmlformats.org/spreadsheetml/2006/main" count="893" uniqueCount="208">
  <si>
    <t>t</t>
  </si>
  <si>
    <t>k</t>
  </si>
  <si>
    <t>E (N/mm²)</t>
  </si>
  <si>
    <t>ρ</t>
  </si>
  <si>
    <t>be1=be2</t>
  </si>
  <si>
    <t>Elément</t>
  </si>
  <si>
    <t>total</t>
  </si>
  <si>
    <t>z</t>
  </si>
  <si>
    <t>h</t>
  </si>
  <si>
    <t>Calcul de la position de l'axe neutre de la section</t>
  </si>
  <si>
    <t>λ</t>
  </si>
  <si>
    <t>α</t>
  </si>
  <si>
    <t>χ</t>
  </si>
  <si>
    <t>I/t</t>
  </si>
  <si>
    <t>M</t>
  </si>
  <si>
    <t>Element</t>
  </si>
  <si>
    <t>Coordonnées</t>
  </si>
  <si>
    <t>partie extérieure</t>
  </si>
  <si>
    <r>
      <t>θ</t>
    </r>
    <r>
      <rPr>
        <vertAlign val="subscript"/>
        <sz val="11"/>
        <color theme="1"/>
        <rFont val="Times New Roman"/>
        <family val="1"/>
      </rPr>
      <t>1</t>
    </r>
  </si>
  <si>
    <r>
      <t>θ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Calibri"/>
        <family val="2"/>
        <scheme val="minor"/>
      </rPr>
      <t/>
    </r>
  </si>
  <si>
    <r>
      <t>θ</t>
    </r>
    <r>
      <rPr>
        <vertAlign val="subscript"/>
        <sz val="11"/>
        <color theme="1"/>
        <rFont val="Times New Roman"/>
        <family val="1"/>
      </rPr>
      <t>3</t>
    </r>
    <r>
      <rPr>
        <sz val="11"/>
        <color theme="1"/>
        <rFont val="Calibri"/>
        <family val="2"/>
        <scheme val="minor"/>
      </rPr>
      <t/>
    </r>
  </si>
  <si>
    <r>
      <t>f</t>
    </r>
    <r>
      <rPr>
        <vertAlign val="subscript"/>
        <sz val="11"/>
        <color theme="1"/>
        <rFont val="Times New Roman"/>
        <family val="1"/>
      </rPr>
      <t xml:space="preserve">yb </t>
    </r>
    <r>
      <rPr>
        <sz val="11"/>
        <color theme="1"/>
        <rFont val="Times New Roman"/>
        <family val="1"/>
      </rPr>
      <t>(N/mm²)</t>
    </r>
  </si>
  <si>
    <r>
      <t>b</t>
    </r>
    <r>
      <rPr>
        <vertAlign val="subscript"/>
        <sz val="11"/>
        <color theme="1"/>
        <rFont val="Times New Roman"/>
        <family val="1"/>
      </rPr>
      <t>p</t>
    </r>
  </si>
  <si>
    <r>
      <t>λ</t>
    </r>
    <r>
      <rPr>
        <vertAlign val="subscript"/>
        <sz val="11"/>
        <color theme="1"/>
        <rFont val="Times New Roman"/>
        <family val="1"/>
      </rPr>
      <t>p</t>
    </r>
  </si>
  <si>
    <r>
      <t>b</t>
    </r>
    <r>
      <rPr>
        <vertAlign val="subscript"/>
        <sz val="11"/>
        <color theme="1"/>
        <rFont val="Times New Roman"/>
        <family val="1"/>
      </rPr>
      <t>e</t>
    </r>
    <r>
      <rPr>
        <sz val="11"/>
        <color theme="1"/>
        <rFont val="Times New Roman"/>
        <family val="1"/>
      </rPr>
      <t>=ρ*b</t>
    </r>
    <r>
      <rPr>
        <vertAlign val="subscript"/>
        <sz val="11"/>
        <color theme="1"/>
        <rFont val="Times New Roman"/>
        <family val="1"/>
      </rPr>
      <t>p</t>
    </r>
  </si>
  <si>
    <r>
      <t>b</t>
    </r>
    <r>
      <rPr>
        <vertAlign val="subscript"/>
        <sz val="11"/>
        <color theme="1"/>
        <rFont val="Times New Roman"/>
        <family val="1"/>
      </rPr>
      <t>s</t>
    </r>
  </si>
  <si>
    <r>
      <t>h</t>
    </r>
    <r>
      <rPr>
        <vertAlign val="subscript"/>
        <sz val="11"/>
        <color theme="1"/>
        <rFont val="Times New Roman"/>
        <family val="1"/>
      </rPr>
      <t>w</t>
    </r>
  </si>
  <si>
    <r>
      <t>s</t>
    </r>
    <r>
      <rPr>
        <vertAlign val="subscript"/>
        <sz val="11"/>
        <color theme="1"/>
        <rFont val="Times New Roman"/>
        <family val="1"/>
      </rPr>
      <t>w</t>
    </r>
  </si>
  <si>
    <r>
      <t>l</t>
    </r>
    <r>
      <rPr>
        <vertAlign val="subscript"/>
        <sz val="11"/>
        <color theme="1"/>
        <rFont val="Times New Roman"/>
        <family val="1"/>
      </rPr>
      <t>b</t>
    </r>
  </si>
  <si>
    <r>
      <t>k</t>
    </r>
    <r>
      <rPr>
        <vertAlign val="subscript"/>
        <sz val="11"/>
        <color theme="1"/>
        <rFont val="Times New Roman"/>
        <family val="1"/>
      </rPr>
      <t>w</t>
    </r>
  </si>
  <si>
    <r>
      <t>s</t>
    </r>
    <r>
      <rPr>
        <vertAlign val="subscript"/>
        <sz val="11"/>
        <color theme="1"/>
        <rFont val="Times New Roman"/>
        <family val="1"/>
      </rPr>
      <t>eff,0</t>
    </r>
  </si>
  <si>
    <r>
      <t>s</t>
    </r>
    <r>
      <rPr>
        <vertAlign val="subscript"/>
        <sz val="11"/>
        <color theme="1"/>
        <rFont val="Times New Roman"/>
        <family val="1"/>
      </rPr>
      <t>eff,1</t>
    </r>
  </si>
  <si>
    <r>
      <t>e</t>
    </r>
    <r>
      <rPr>
        <vertAlign val="subscript"/>
        <sz val="11"/>
        <color theme="1"/>
        <rFont val="Times New Roman"/>
        <family val="1"/>
      </rPr>
      <t>c</t>
    </r>
  </si>
  <si>
    <r>
      <t>s</t>
    </r>
    <r>
      <rPr>
        <vertAlign val="subscript"/>
        <sz val="11"/>
        <color theme="1"/>
        <rFont val="Times New Roman"/>
        <family val="1"/>
      </rPr>
      <t>n</t>
    </r>
  </si>
  <si>
    <t>y</t>
  </si>
  <si>
    <r>
      <t>I</t>
    </r>
    <r>
      <rPr>
        <vertAlign val="subscript"/>
        <sz val="11"/>
        <color theme="1"/>
        <rFont val="Times New Roman"/>
        <family val="1"/>
      </rPr>
      <t>1</t>
    </r>
  </si>
  <si>
    <r>
      <t>I</t>
    </r>
    <r>
      <rPr>
        <vertAlign val="subscript"/>
        <sz val="11"/>
        <color theme="1"/>
        <rFont val="Times New Roman"/>
        <family val="1"/>
      </rPr>
      <t>2</t>
    </r>
  </si>
  <si>
    <r>
      <t>I</t>
    </r>
    <r>
      <rPr>
        <vertAlign val="subscript"/>
        <sz val="11"/>
        <color theme="1"/>
        <rFont val="Times New Roman"/>
        <family val="1"/>
      </rPr>
      <t>3</t>
    </r>
  </si>
  <si>
    <r>
      <t>I</t>
    </r>
    <r>
      <rPr>
        <vertAlign val="subscript"/>
        <sz val="11"/>
        <color theme="1"/>
        <rFont val="Times New Roman"/>
        <family val="1"/>
      </rPr>
      <t>4</t>
    </r>
  </si>
  <si>
    <r>
      <t>I</t>
    </r>
    <r>
      <rPr>
        <vertAlign val="subscript"/>
        <sz val="11"/>
        <color theme="1"/>
        <rFont val="Times New Roman"/>
        <family val="1"/>
      </rPr>
      <t>5</t>
    </r>
  </si>
  <si>
    <r>
      <t>I</t>
    </r>
    <r>
      <rPr>
        <vertAlign val="subscript"/>
        <sz val="11"/>
        <color theme="1"/>
        <rFont val="Times New Roman"/>
        <family val="1"/>
      </rPr>
      <t>6</t>
    </r>
  </si>
  <si>
    <r>
      <t>I</t>
    </r>
    <r>
      <rPr>
        <vertAlign val="subscript"/>
        <sz val="11"/>
        <color theme="1"/>
        <rFont val="Times New Roman"/>
        <family val="1"/>
      </rPr>
      <t>7</t>
    </r>
  </si>
  <si>
    <r>
      <t>L</t>
    </r>
    <r>
      <rPr>
        <vertAlign val="subscript"/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>*t</t>
    </r>
    <r>
      <rPr>
        <vertAlign val="super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>/12+A</t>
    </r>
    <r>
      <rPr>
        <vertAlign val="subscript"/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>*z0²</t>
    </r>
  </si>
  <si>
    <r>
      <t>L</t>
    </r>
    <r>
      <rPr>
        <vertAlign val="sub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>*t*h²/12+A</t>
    </r>
    <r>
      <rPr>
        <vertAlign val="sub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>*z0²</t>
    </r>
  </si>
  <si>
    <r>
      <t>L</t>
    </r>
    <r>
      <rPr>
        <vertAlign val="subscript"/>
        <sz val="11"/>
        <color theme="1"/>
        <rFont val="Times New Roman"/>
        <family val="1"/>
      </rPr>
      <t xml:space="preserve">i </t>
    </r>
    <r>
      <rPr>
        <sz val="11"/>
        <color theme="1"/>
        <rFont val="Times New Roman"/>
        <family val="1"/>
      </rPr>
      <t>(mm)</t>
    </r>
  </si>
  <si>
    <t>z(mm)</t>
  </si>
  <si>
    <t>z0(mm)</t>
  </si>
  <si>
    <r>
      <t>A</t>
    </r>
    <r>
      <rPr>
        <vertAlign val="subscript"/>
        <sz val="11"/>
        <color theme="1"/>
        <rFont val="Times New Roman"/>
        <family val="1"/>
      </rPr>
      <t>i</t>
    </r>
    <r>
      <rPr>
        <sz val="11"/>
        <color theme="1"/>
        <rFont val="Times New Roman"/>
        <family val="1"/>
      </rPr>
      <t>(mm²)</t>
    </r>
  </si>
  <si>
    <r>
      <t>S</t>
    </r>
    <r>
      <rPr>
        <vertAlign val="subscript"/>
        <sz val="11"/>
        <color theme="1"/>
        <rFont val="Times New Roman"/>
        <family val="1"/>
      </rPr>
      <t>i</t>
    </r>
    <r>
      <rPr>
        <sz val="11"/>
        <color theme="1"/>
        <rFont val="Times New Roman"/>
        <family val="1"/>
      </rPr>
      <t>(mm</t>
    </r>
    <r>
      <rPr>
        <vertAlign val="super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>)</t>
    </r>
  </si>
  <si>
    <r>
      <t>I</t>
    </r>
    <r>
      <rPr>
        <vertAlign val="subscript"/>
        <sz val="11"/>
        <color theme="1"/>
        <rFont val="Times New Roman"/>
        <family val="1"/>
      </rPr>
      <t>i</t>
    </r>
    <r>
      <rPr>
        <sz val="11"/>
        <color theme="1"/>
        <rFont val="Times New Roman"/>
        <family val="1"/>
      </rPr>
      <t>(mm</t>
    </r>
    <r>
      <rPr>
        <vertAlign val="superscript"/>
        <sz val="11"/>
        <color theme="1"/>
        <rFont val="Times New Roman"/>
        <family val="1"/>
      </rPr>
      <t>4</t>
    </r>
    <r>
      <rPr>
        <sz val="11"/>
        <color theme="1"/>
        <rFont val="Times New Roman"/>
        <family val="1"/>
      </rPr>
      <t>)</t>
    </r>
  </si>
  <si>
    <r>
      <t>σ</t>
    </r>
    <r>
      <rPr>
        <vertAlign val="subscript"/>
        <sz val="11"/>
        <color theme="1"/>
        <rFont val="Times New Roman"/>
        <family val="1"/>
      </rPr>
      <t>cr,s</t>
    </r>
    <r>
      <rPr>
        <sz val="11"/>
        <color theme="1"/>
        <rFont val="Times New Roman"/>
        <family val="1"/>
      </rPr>
      <t>(N/mm²)</t>
    </r>
  </si>
  <si>
    <r>
      <t>t</t>
    </r>
    <r>
      <rPr>
        <vertAlign val="subscript"/>
        <sz val="11"/>
        <color theme="1"/>
        <rFont val="Times New Roman"/>
        <family val="1"/>
      </rPr>
      <t>eff</t>
    </r>
  </si>
  <si>
    <t>lz</t>
  </si>
  <si>
    <t>ly</t>
  </si>
  <si>
    <r>
      <t>l</t>
    </r>
    <r>
      <rPr>
        <vertAlign val="subscript"/>
        <sz val="11"/>
        <color theme="1"/>
        <rFont val="Times New Roman"/>
        <family val="1"/>
      </rPr>
      <t>i</t>
    </r>
  </si>
  <si>
    <t>w</t>
  </si>
  <si>
    <r>
      <t>t</t>
    </r>
    <r>
      <rPr>
        <vertAlign val="subscript"/>
        <sz val="11"/>
        <color theme="1"/>
        <rFont val="Times New Roman"/>
        <family val="1"/>
      </rPr>
      <t>réd</t>
    </r>
  </si>
  <si>
    <t>sw</t>
  </si>
  <si>
    <t>bpt</t>
  </si>
  <si>
    <t>bpb</t>
  </si>
  <si>
    <t>bflt</t>
  </si>
  <si>
    <t>bflb</t>
  </si>
  <si>
    <t>sflw</t>
  </si>
  <si>
    <t>SCHEMA</t>
  </si>
  <si>
    <t>fθ1</t>
  </si>
  <si>
    <t>lcθ1</t>
  </si>
  <si>
    <t>Ccθ1</t>
  </si>
  <si>
    <t>fθ3</t>
  </si>
  <si>
    <r>
      <t>g</t>
    </r>
    <r>
      <rPr>
        <sz val="11"/>
        <color theme="1"/>
        <rFont val="Calibri"/>
        <family val="2"/>
      </rPr>
      <t>θ3</t>
    </r>
  </si>
  <si>
    <t>lcθ3</t>
  </si>
  <si>
    <t>Ccθ3</t>
  </si>
  <si>
    <r>
      <t>g2</t>
    </r>
    <r>
      <rPr>
        <sz val="11"/>
        <color theme="1"/>
        <rFont val="Calibri"/>
        <family val="2"/>
      </rPr>
      <t>θ3</t>
    </r>
  </si>
  <si>
    <t>f2θ3</t>
  </si>
  <si>
    <t>lc2θ3</t>
  </si>
  <si>
    <t>Cc2θ3</t>
  </si>
  <si>
    <t>ε</t>
  </si>
  <si>
    <r>
      <t>λ</t>
    </r>
    <r>
      <rPr>
        <vertAlign val="subscript"/>
        <sz val="11"/>
        <color theme="1"/>
        <rFont val="Times New Roman"/>
        <family val="1"/>
      </rPr>
      <t>pred</t>
    </r>
  </si>
  <si>
    <r>
      <t>σ</t>
    </r>
    <r>
      <rPr>
        <vertAlign val="subscript"/>
        <sz val="11"/>
        <color rgb="FFFF0000"/>
        <rFont val="Times New Roman"/>
        <family val="1"/>
      </rPr>
      <t>com</t>
    </r>
  </si>
  <si>
    <r>
      <rPr>
        <sz val="11"/>
        <rFont val="Calibri"/>
        <family val="2"/>
      </rPr>
      <t>γ</t>
    </r>
    <r>
      <rPr>
        <vertAlign val="subscript"/>
        <sz val="11"/>
        <rFont val="Times New Roman"/>
        <family val="1"/>
      </rPr>
      <t>M0</t>
    </r>
  </si>
  <si>
    <r>
      <rPr>
        <sz val="11"/>
        <color theme="1"/>
        <rFont val="Times New Roman"/>
        <family val="1"/>
      </rPr>
      <t>ψ</t>
    </r>
    <r>
      <rPr>
        <sz val="11"/>
        <color theme="1"/>
        <rFont val="Calibri"/>
        <family val="2"/>
      </rPr>
      <t>=</t>
    </r>
    <r>
      <rPr>
        <sz val="11"/>
        <color theme="1"/>
        <rFont val="Times New Roman"/>
        <family val="1"/>
      </rPr>
      <t>σ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/σ</t>
    </r>
    <r>
      <rPr>
        <vertAlign val="subscript"/>
        <sz val="11"/>
        <color theme="1"/>
        <rFont val="Times New Roman"/>
        <family val="1"/>
      </rPr>
      <t>1</t>
    </r>
  </si>
  <si>
    <t>1/2 (1eff)</t>
  </si>
  <si>
    <t>1/2 (7eff)</t>
  </si>
  <si>
    <t>ec</t>
  </si>
  <si>
    <t>&gt;</t>
  </si>
  <si>
    <r>
      <t>h</t>
    </r>
    <r>
      <rPr>
        <strike/>
        <vertAlign val="subscript"/>
        <sz val="11"/>
        <color theme="1"/>
        <rFont val="Times New Roman"/>
        <family val="1"/>
      </rPr>
      <t>a</t>
    </r>
  </si>
  <si>
    <r>
      <t>s</t>
    </r>
    <r>
      <rPr>
        <strike/>
        <vertAlign val="subscript"/>
        <sz val="11"/>
        <color theme="1"/>
        <rFont val="Times New Roman"/>
        <family val="1"/>
      </rPr>
      <t>eff,2</t>
    </r>
  </si>
  <si>
    <r>
      <t>s</t>
    </r>
    <r>
      <rPr>
        <strike/>
        <vertAlign val="subscript"/>
        <sz val="11"/>
        <color theme="1"/>
        <rFont val="Times New Roman"/>
        <family val="1"/>
      </rPr>
      <t>eff,n</t>
    </r>
  </si>
  <si>
    <r>
      <t>h</t>
    </r>
    <r>
      <rPr>
        <strike/>
        <vertAlign val="subscript"/>
        <sz val="11"/>
        <color theme="1"/>
        <rFont val="Times New Roman"/>
        <family val="1"/>
      </rPr>
      <t>sa</t>
    </r>
  </si>
  <si>
    <r>
      <t>s</t>
    </r>
    <r>
      <rPr>
        <strike/>
        <vertAlign val="subscript"/>
        <sz val="11"/>
        <color theme="1"/>
        <rFont val="Times New Roman"/>
        <family val="1"/>
      </rPr>
      <t>eff,3</t>
    </r>
  </si>
  <si>
    <r>
      <t>s</t>
    </r>
    <r>
      <rPr>
        <strike/>
        <vertAlign val="subscript"/>
        <sz val="11"/>
        <color theme="1"/>
        <rFont val="Times New Roman"/>
        <family val="1"/>
      </rPr>
      <t>n</t>
    </r>
  </si>
  <si>
    <r>
      <t>s</t>
    </r>
    <r>
      <rPr>
        <strike/>
        <vertAlign val="subscript"/>
        <sz val="11"/>
        <color theme="1"/>
        <rFont val="Times New Roman"/>
        <family val="1"/>
      </rPr>
      <t>eff,3</t>
    </r>
    <r>
      <rPr>
        <strike/>
        <sz val="11"/>
        <color theme="1"/>
        <rFont val="Times New Roman"/>
        <family val="1"/>
      </rPr>
      <t xml:space="preserve"> + s</t>
    </r>
    <r>
      <rPr>
        <strike/>
        <vertAlign val="subscript"/>
        <sz val="11"/>
        <color theme="1"/>
        <rFont val="Times New Roman"/>
        <family val="1"/>
      </rPr>
      <t>eff,n</t>
    </r>
  </si>
  <si>
    <r>
      <t>s</t>
    </r>
    <r>
      <rPr>
        <strike/>
        <vertAlign val="subscript"/>
        <sz val="11"/>
        <color theme="1"/>
        <rFont val="Times New Roman"/>
        <family val="1"/>
      </rPr>
      <t>eff,1</t>
    </r>
  </si>
  <si>
    <r>
      <t>s</t>
    </r>
    <r>
      <rPr>
        <strike/>
        <vertAlign val="subscript"/>
        <sz val="11"/>
        <color theme="1"/>
        <rFont val="Times New Roman"/>
        <family val="1"/>
      </rPr>
      <t>eff,0</t>
    </r>
  </si>
  <si>
    <t>1/2 onde</t>
  </si>
  <si>
    <t>entre axe(mm)</t>
  </si>
  <si>
    <t>onde</t>
  </si>
  <si>
    <t>mm3/mm</t>
  </si>
  <si>
    <t>Nmm/mm</t>
  </si>
  <si>
    <t>kNm/m</t>
  </si>
  <si>
    <r>
      <t>s</t>
    </r>
    <r>
      <rPr>
        <vertAlign val="subscript"/>
        <sz val="11"/>
        <color theme="1"/>
        <rFont val="Times New Roman"/>
        <family val="1"/>
      </rPr>
      <t>d</t>
    </r>
  </si>
  <si>
    <r>
      <t>s</t>
    </r>
    <r>
      <rPr>
        <vertAlign val="subscript"/>
        <sz val="11"/>
        <color theme="1"/>
        <rFont val="Times New Roman"/>
        <family val="1"/>
      </rPr>
      <t>p</t>
    </r>
  </si>
  <si>
    <r>
      <rPr>
        <sz val="11"/>
        <rFont val="Times New Roman"/>
        <family val="1"/>
      </rPr>
      <t>I</t>
    </r>
    <r>
      <rPr>
        <vertAlign val="subscript"/>
        <sz val="11"/>
        <rFont val="Times New Roman"/>
        <family val="1"/>
      </rPr>
      <t>s</t>
    </r>
  </si>
  <si>
    <r>
      <t>k</t>
    </r>
    <r>
      <rPr>
        <vertAlign val="subscript"/>
        <sz val="11"/>
        <color theme="1"/>
        <rFont val="Times New Roman"/>
        <family val="1"/>
      </rPr>
      <t>τ</t>
    </r>
  </si>
  <si>
    <t>Is</t>
  </si>
  <si>
    <r>
      <t>λ</t>
    </r>
    <r>
      <rPr>
        <vertAlign val="subscript"/>
        <sz val="11"/>
        <color theme="1"/>
        <rFont val="Times New Roman"/>
        <family val="1"/>
      </rPr>
      <t>w</t>
    </r>
  </si>
  <si>
    <r>
      <t>0.346*s</t>
    </r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/t*(f</t>
    </r>
    <r>
      <rPr>
        <vertAlign val="subscript"/>
        <sz val="11"/>
        <color theme="1"/>
        <rFont val="Calibri"/>
        <family val="2"/>
        <scheme val="minor"/>
      </rPr>
      <t>yb</t>
    </r>
    <r>
      <rPr>
        <sz val="11"/>
        <color theme="1"/>
        <rFont val="Calibri"/>
        <family val="2"/>
        <scheme val="minor"/>
      </rPr>
      <t>/E)</t>
    </r>
    <r>
      <rPr>
        <vertAlign val="superscript"/>
        <sz val="11"/>
        <color theme="1"/>
        <rFont val="Calibri"/>
        <family val="2"/>
        <scheme val="minor"/>
      </rPr>
      <t>1/2</t>
    </r>
  </si>
  <si>
    <t>λw&gt;1.4=&gt;</t>
  </si>
  <si>
    <r>
      <rPr>
        <sz val="11"/>
        <color theme="1"/>
        <rFont val="Times New Roman"/>
        <family val="1"/>
      </rPr>
      <t>γ</t>
    </r>
    <r>
      <rPr>
        <vertAlign val="subscript"/>
        <sz val="11"/>
        <color theme="1"/>
        <rFont val="Calibri"/>
        <family val="2"/>
      </rPr>
      <t>M0</t>
    </r>
  </si>
  <si>
    <r>
      <t>f</t>
    </r>
    <r>
      <rPr>
        <vertAlign val="subscript"/>
        <sz val="11"/>
        <color theme="1"/>
        <rFont val="Calibri"/>
        <family val="2"/>
        <scheme val="minor"/>
      </rPr>
      <t>bv</t>
    </r>
  </si>
  <si>
    <r>
      <t>V</t>
    </r>
    <r>
      <rPr>
        <vertAlign val="subscript"/>
        <sz val="11"/>
        <color theme="1"/>
        <rFont val="Calibri"/>
        <family val="2"/>
        <scheme val="minor"/>
      </rPr>
      <t>b,Rd</t>
    </r>
  </si>
  <si>
    <r>
      <t>V</t>
    </r>
    <r>
      <rPr>
        <vertAlign val="subscript"/>
        <sz val="11"/>
        <color theme="1"/>
        <rFont val="Calibri"/>
        <family val="2"/>
        <scheme val="minor"/>
      </rPr>
      <t xml:space="preserve">b,Rd </t>
    </r>
    <r>
      <rPr>
        <sz val="11"/>
        <color theme="1"/>
        <rFont val="Calibri"/>
        <family val="2"/>
        <scheme val="minor"/>
      </rPr>
      <t>(kN)</t>
    </r>
  </si>
  <si>
    <t>R/2</t>
  </si>
  <si>
    <t>hw</t>
  </si>
  <si>
    <t>f</t>
  </si>
  <si>
    <t>r/t&lt;10</t>
  </si>
  <si>
    <t>Appui d'extrémité</t>
  </si>
  <si>
    <t>Appui inermédiaire</t>
  </si>
  <si>
    <r>
      <t>r</t>
    </r>
    <r>
      <rPr>
        <vertAlign val="subscript"/>
        <sz val="11"/>
        <color theme="1"/>
        <rFont val="Times New Roman"/>
        <family val="1"/>
      </rPr>
      <t>i</t>
    </r>
  </si>
  <si>
    <r>
      <t>200*sin</t>
    </r>
    <r>
      <rPr>
        <sz val="11"/>
        <color theme="1"/>
        <rFont val="Calibri"/>
        <family val="2"/>
      </rPr>
      <t>Ф</t>
    </r>
  </si>
  <si>
    <r>
      <t>l</t>
    </r>
    <r>
      <rPr>
        <vertAlign val="subscript"/>
        <sz val="11"/>
        <color theme="1"/>
        <rFont val="Times New Roman"/>
        <family val="1"/>
      </rPr>
      <t>a</t>
    </r>
  </si>
  <si>
    <r>
      <rPr>
        <sz val="11"/>
        <color theme="1"/>
        <rFont val="Calibri"/>
        <family val="2"/>
      </rPr>
      <t>γ</t>
    </r>
    <r>
      <rPr>
        <vertAlign val="subscript"/>
        <sz val="11"/>
        <color theme="1"/>
        <rFont val="Times New Roman"/>
        <family val="1"/>
      </rPr>
      <t>M1</t>
    </r>
  </si>
  <si>
    <r>
      <t>R</t>
    </r>
    <r>
      <rPr>
        <vertAlign val="subscript"/>
        <sz val="11"/>
        <color theme="1"/>
        <rFont val="Times New Roman"/>
        <family val="1"/>
      </rPr>
      <t>w,Rd</t>
    </r>
    <r>
      <rPr>
        <sz val="11"/>
        <color theme="1"/>
        <rFont val="Times New Roman"/>
        <family val="1"/>
      </rPr>
      <t>/m</t>
    </r>
  </si>
  <si>
    <t>/ame</t>
  </si>
  <si>
    <r>
      <t>L</t>
    </r>
    <r>
      <rPr>
        <vertAlign val="subscript"/>
        <sz val="11"/>
        <color theme="1"/>
        <rFont val="Times New Roman"/>
        <family val="1"/>
      </rPr>
      <t>5</t>
    </r>
    <r>
      <rPr>
        <sz val="11"/>
        <color theme="1"/>
        <rFont val="Times New Roman"/>
        <family val="1"/>
      </rPr>
      <t>*t*h²/12+A</t>
    </r>
    <r>
      <rPr>
        <vertAlign val="subscript"/>
        <sz val="11"/>
        <color theme="1"/>
        <rFont val="Times New Roman"/>
        <family val="1"/>
      </rPr>
      <t>5</t>
    </r>
    <r>
      <rPr>
        <sz val="11"/>
        <color theme="1"/>
        <rFont val="Times New Roman"/>
        <family val="1"/>
      </rPr>
      <t>*z0²</t>
    </r>
  </si>
  <si>
    <r>
      <t>L</t>
    </r>
    <r>
      <rPr>
        <vertAlign val="subscript"/>
        <sz val="11"/>
        <color theme="1"/>
        <rFont val="Times New Roman"/>
        <family val="1"/>
      </rPr>
      <t>7</t>
    </r>
    <r>
      <rPr>
        <sz val="11"/>
        <color theme="1"/>
        <rFont val="Times New Roman"/>
        <family val="1"/>
      </rPr>
      <t>*t*h</t>
    </r>
    <r>
      <rPr>
        <vertAlign val="super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>/12+A</t>
    </r>
    <r>
      <rPr>
        <vertAlign val="subscript"/>
        <sz val="11"/>
        <color theme="1"/>
        <rFont val="Times New Roman"/>
        <family val="1"/>
      </rPr>
      <t>7</t>
    </r>
    <r>
      <rPr>
        <sz val="11"/>
        <color theme="1"/>
        <rFont val="Times New Roman"/>
        <family val="1"/>
      </rPr>
      <t>*z0²</t>
    </r>
  </si>
  <si>
    <t>partie plane</t>
  </si>
  <si>
    <t>θ1</t>
  </si>
  <si>
    <t>θ3</t>
  </si>
  <si>
    <t>2θ3</t>
  </si>
  <si>
    <r>
      <t>k</t>
    </r>
    <r>
      <rPr>
        <vertAlign val="subscript"/>
        <sz val="11"/>
        <color theme="1"/>
        <rFont val="Times New Roman"/>
        <family val="1"/>
      </rPr>
      <t>w0</t>
    </r>
  </si>
  <si>
    <t>λ&lt;0,65</t>
  </si>
  <si>
    <t>λ&gt;1,38</t>
  </si>
  <si>
    <t>Pour parasteel ame complétement efficace</t>
  </si>
  <si>
    <t>parasteel</t>
  </si>
  <si>
    <t>θ2</t>
  </si>
  <si>
    <t>lcθ2</t>
  </si>
  <si>
    <t>Ccθ2</t>
  </si>
  <si>
    <t>Pour PCB60 ame complétement efficace</t>
  </si>
  <si>
    <r>
      <t>R</t>
    </r>
    <r>
      <rPr>
        <vertAlign val="subscript"/>
        <sz val="11"/>
        <color theme="1"/>
        <rFont val="Times New Roman"/>
        <family val="1"/>
      </rPr>
      <t>w,Rd</t>
    </r>
    <r>
      <rPr>
        <sz val="11"/>
        <color theme="1"/>
        <rFont val="Times New Roman"/>
        <family val="1"/>
      </rPr>
      <t>/m (kN/m)</t>
    </r>
  </si>
  <si>
    <t>hw/t &lt;</t>
  </si>
  <si>
    <t>c &lt;</t>
  </si>
  <si>
    <r>
      <t>1,5 h</t>
    </r>
    <r>
      <rPr>
        <vertAlign val="subscript"/>
        <sz val="11"/>
        <color theme="1"/>
        <rFont val="Times New Roman"/>
        <family val="1"/>
      </rPr>
      <t>W</t>
    </r>
  </si>
  <si>
    <t>mm^3</t>
  </si>
  <si>
    <r>
      <t>R</t>
    </r>
    <r>
      <rPr>
        <vertAlign val="subscript"/>
        <sz val="11"/>
        <color theme="1"/>
        <rFont val="Times New Roman"/>
        <family val="1"/>
      </rPr>
      <t>w,Rd(</t>
    </r>
    <r>
      <rPr>
        <sz val="11"/>
        <color theme="1"/>
        <rFont val="Times New Roman"/>
        <family val="1"/>
      </rPr>
      <t>âme non raidie)</t>
    </r>
  </si>
  <si>
    <r>
      <t>s</t>
    </r>
    <r>
      <rPr>
        <vertAlign val="subscript"/>
        <sz val="11"/>
        <color theme="1"/>
        <rFont val="Times New Roman"/>
        <family val="1"/>
      </rPr>
      <t>eff,n</t>
    </r>
  </si>
  <si>
    <r>
      <t>s</t>
    </r>
    <r>
      <rPr>
        <vertAlign val="subscript"/>
        <sz val="11"/>
        <color theme="1"/>
        <rFont val="Times New Roman"/>
        <family val="1"/>
      </rPr>
      <t>eff,1</t>
    </r>
    <r>
      <rPr>
        <sz val="11"/>
        <color theme="1"/>
        <rFont val="Times New Roman"/>
        <family val="1"/>
      </rPr>
      <t xml:space="preserve"> + s</t>
    </r>
    <r>
      <rPr>
        <vertAlign val="subscript"/>
        <sz val="11"/>
        <color theme="1"/>
        <rFont val="Times New Roman"/>
        <family val="1"/>
      </rPr>
      <t>eff,n</t>
    </r>
  </si>
  <si>
    <t>fyb/γM0/σcom</t>
  </si>
  <si>
    <t>ro</t>
  </si>
  <si>
    <r>
      <t>b</t>
    </r>
    <r>
      <rPr>
        <vertAlign val="subscript"/>
        <sz val="11"/>
        <color theme="1"/>
        <rFont val="Times New Roman"/>
        <family val="1"/>
      </rPr>
      <t>d</t>
    </r>
  </si>
  <si>
    <r>
      <t>l</t>
    </r>
    <r>
      <rPr>
        <vertAlign val="subscript"/>
        <sz val="11"/>
        <color theme="1"/>
        <rFont val="Times New Roman"/>
        <family val="1"/>
      </rPr>
      <t>b</t>
    </r>
    <r>
      <rPr>
        <sz val="11"/>
        <color theme="1"/>
        <rFont val="Times New Roman"/>
        <family val="1"/>
      </rPr>
      <t>/s</t>
    </r>
    <r>
      <rPr>
        <vertAlign val="subscript"/>
        <sz val="11"/>
        <color theme="1"/>
        <rFont val="Times New Roman"/>
        <family val="1"/>
      </rPr>
      <t>w</t>
    </r>
    <r>
      <rPr>
        <sz val="11"/>
        <color theme="1"/>
        <rFont val="Times New Roman"/>
        <family val="1"/>
      </rPr>
      <t>&lt;2</t>
    </r>
  </si>
  <si>
    <t>partie intérieure</t>
  </si>
  <si>
    <t>BOSSE</t>
  </si>
  <si>
    <t>FILL RED CELLS</t>
  </si>
  <si>
    <t>if t = 0,75 mm</t>
  </si>
  <si>
    <t>if t =1 mm</t>
  </si>
  <si>
    <r>
      <t>H</t>
    </r>
    <r>
      <rPr>
        <vertAlign val="subscript"/>
        <sz val="11"/>
        <color theme="1"/>
        <rFont val="Calibri"/>
        <family val="2"/>
        <scheme val="minor"/>
      </rPr>
      <t xml:space="preserve">e </t>
    </r>
    <r>
      <rPr>
        <sz val="11"/>
        <color theme="1"/>
        <rFont val="Calibri"/>
        <family val="2"/>
        <scheme val="minor"/>
      </rPr>
      <t>&lt; 4 mm</t>
    </r>
  </si>
  <si>
    <r>
      <rPr>
        <sz val="12"/>
        <color theme="1"/>
        <rFont val="Symbol"/>
        <family val="1"/>
        <charset val="2"/>
      </rPr>
      <t>r</t>
    </r>
    <r>
      <rPr>
        <sz val="12"/>
        <color theme="1"/>
        <rFont val="Times New Roman"/>
      </rPr>
      <t xml:space="preserve"> </t>
    </r>
  </si>
  <si>
    <t>3) DATA</t>
  </si>
  <si>
    <r>
      <t>R2</t>
    </r>
    <r>
      <rPr>
        <vertAlign val="subscript"/>
        <sz val="11"/>
        <color theme="1"/>
        <rFont val="Times New Roman"/>
        <family val="1"/>
      </rPr>
      <t xml:space="preserve">sup </t>
    </r>
    <r>
      <rPr>
        <sz val="11"/>
        <color theme="1"/>
        <rFont val="Times New Roman"/>
        <family val="1"/>
      </rPr>
      <t>(mm)</t>
    </r>
  </si>
  <si>
    <r>
      <t>R2</t>
    </r>
    <r>
      <rPr>
        <vertAlign val="subscript"/>
        <sz val="11"/>
        <color theme="1"/>
        <rFont val="Times New Roman"/>
        <family val="1"/>
      </rPr>
      <t xml:space="preserve">inf </t>
    </r>
    <r>
      <rPr>
        <sz val="11"/>
        <color theme="1"/>
        <rFont val="Times New Roman"/>
        <family val="1"/>
      </rPr>
      <t>(mm)</t>
    </r>
  </si>
  <si>
    <t>t (mm)</t>
  </si>
  <si>
    <t>Pitch (mm)</t>
  </si>
  <si>
    <t>hw (mm)</t>
  </si>
  <si>
    <r>
      <t>zS</t>
    </r>
    <r>
      <rPr>
        <vertAlign val="subscript"/>
        <sz val="11"/>
        <color theme="1"/>
        <rFont val="Times New Roman"/>
        <family val="1"/>
      </rPr>
      <t xml:space="preserve">embossment </t>
    </r>
    <r>
      <rPr>
        <sz val="11"/>
        <color theme="1"/>
        <rFont val="Times New Roman"/>
        <family val="1"/>
      </rPr>
      <t>(mm)</t>
    </r>
  </si>
  <si>
    <r>
      <t>zI</t>
    </r>
    <r>
      <rPr>
        <vertAlign val="subscript"/>
        <sz val="11"/>
        <color theme="1"/>
        <rFont val="Times New Roman"/>
        <family val="1"/>
      </rPr>
      <t xml:space="preserve">embossment </t>
    </r>
    <r>
      <rPr>
        <sz val="11"/>
        <color theme="1"/>
        <rFont val="Times New Roman"/>
        <family val="1"/>
      </rPr>
      <t>(mm)</t>
    </r>
  </si>
  <si>
    <t>4) Checking of geometrical proportions</t>
  </si>
  <si>
    <t>b/t=</t>
  </si>
  <si>
    <r>
      <t>θ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=</t>
    </r>
  </si>
  <si>
    <t>h/t=</t>
  </si>
  <si>
    <t>500sin(θ2)=</t>
  </si>
  <si>
    <t>r &lt;</t>
  </si>
  <si>
    <r>
      <t xml:space="preserve">0,04 </t>
    </r>
    <r>
      <rPr>
        <i/>
        <sz val="12"/>
        <color theme="1"/>
        <rFont val="Times New Roman"/>
      </rPr>
      <t>t</t>
    </r>
    <r>
      <rPr>
        <sz val="12"/>
        <color theme="1"/>
        <rFont val="Times New Roman"/>
      </rPr>
      <t xml:space="preserve"> </t>
    </r>
    <r>
      <rPr>
        <i/>
        <sz val="12"/>
        <color theme="1"/>
        <rFont val="Times New Roman"/>
      </rPr>
      <t>E</t>
    </r>
    <r>
      <rPr>
        <sz val="12"/>
        <color theme="1"/>
        <rFont val="Times New Roman"/>
      </rPr>
      <t xml:space="preserve"> / </t>
    </r>
    <r>
      <rPr>
        <i/>
        <sz val="12"/>
        <color theme="1"/>
        <rFont val="Times New Roman"/>
      </rPr>
      <t>f</t>
    </r>
    <r>
      <rPr>
        <vertAlign val="subscript"/>
        <sz val="12"/>
        <color theme="1"/>
        <rFont val="Times New Roman"/>
      </rPr>
      <t xml:space="preserve">y </t>
    </r>
  </si>
  <si>
    <t>5) RESULTS</t>
  </si>
  <si>
    <t xml:space="preserve"> bu=60mm</t>
  </si>
  <si>
    <r>
      <t>M</t>
    </r>
    <r>
      <rPr>
        <b/>
        <vertAlign val="subscript"/>
        <sz val="14"/>
        <color theme="1"/>
        <rFont val="Calibri"/>
        <scheme val="minor"/>
      </rPr>
      <t xml:space="preserve">max </t>
    </r>
  </si>
  <si>
    <r>
      <t>R</t>
    </r>
    <r>
      <rPr>
        <b/>
        <vertAlign val="subscript"/>
        <sz val="14"/>
        <color theme="1"/>
        <rFont val="Calibri"/>
        <scheme val="minor"/>
      </rPr>
      <t>max</t>
    </r>
  </si>
  <si>
    <r>
      <t>M</t>
    </r>
    <r>
      <rPr>
        <b/>
        <vertAlign val="subscript"/>
        <sz val="14"/>
        <color theme="1"/>
        <rFont val="Calibri"/>
        <scheme val="minor"/>
      </rPr>
      <t>min</t>
    </r>
  </si>
  <si>
    <r>
      <t>R</t>
    </r>
    <r>
      <rPr>
        <b/>
        <vertAlign val="subscript"/>
        <sz val="14"/>
        <color theme="1"/>
        <rFont val="Calibri"/>
        <scheme val="minor"/>
      </rPr>
      <t>min</t>
    </r>
  </si>
  <si>
    <r>
      <t>M</t>
    </r>
    <r>
      <rPr>
        <b/>
        <vertAlign val="subscript"/>
        <sz val="14"/>
        <color theme="1"/>
        <rFont val="Calibri"/>
        <scheme val="minor"/>
      </rPr>
      <t>0</t>
    </r>
  </si>
  <si>
    <r>
      <t>R</t>
    </r>
    <r>
      <rPr>
        <b/>
        <vertAlign val="subscript"/>
        <sz val="14"/>
        <color theme="1"/>
        <rFont val="Calibri"/>
        <scheme val="minor"/>
      </rPr>
      <t>0</t>
    </r>
  </si>
  <si>
    <t>kN/m</t>
  </si>
  <si>
    <t xml:space="preserve"> bu=160mm</t>
  </si>
  <si>
    <t>ratio ρ</t>
  </si>
  <si>
    <t xml:space="preserve">1) Determination of embossment ratio ρ </t>
  </si>
  <si>
    <r>
      <t>hS</t>
    </r>
    <r>
      <rPr>
        <vertAlign val="subscript"/>
        <sz val="11"/>
        <color theme="1"/>
        <rFont val="Times New Roman"/>
        <family val="1"/>
      </rPr>
      <t xml:space="preserve">embossment </t>
    </r>
    <r>
      <rPr>
        <sz val="11"/>
        <color theme="1"/>
        <rFont val="Times New Roman"/>
        <family val="1"/>
      </rPr>
      <t>(mm)</t>
    </r>
  </si>
  <si>
    <r>
      <t>hI</t>
    </r>
    <r>
      <rPr>
        <vertAlign val="subscript"/>
        <sz val="11"/>
        <color theme="1"/>
        <rFont val="Times New Roman"/>
        <family val="1"/>
      </rPr>
      <t xml:space="preserve">embossment </t>
    </r>
    <r>
      <rPr>
        <sz val="11"/>
        <color theme="1"/>
        <rFont val="Times New Roman"/>
        <family val="1"/>
      </rPr>
      <t>(mm)</t>
    </r>
  </si>
  <si>
    <r>
      <t>g</t>
    </r>
    <r>
      <rPr>
        <sz val="11"/>
        <color theme="1"/>
        <rFont val="Calibri"/>
        <family val="2"/>
      </rPr>
      <t>θ2sup</t>
    </r>
  </si>
  <si>
    <t>fθ2sup</t>
  </si>
  <si>
    <r>
      <t>g</t>
    </r>
    <r>
      <rPr>
        <sz val="11"/>
        <color theme="1"/>
        <rFont val="Calibri"/>
        <family val="2"/>
      </rPr>
      <t>θ2inf</t>
    </r>
  </si>
  <si>
    <t>fθ2inf</t>
  </si>
  <si>
    <t>lcθ2inf</t>
  </si>
  <si>
    <t>Ccθ2inf</t>
  </si>
  <si>
    <r>
      <t>g</t>
    </r>
    <r>
      <rPr>
        <sz val="11"/>
        <rFont val="Calibri"/>
        <family val="2"/>
      </rPr>
      <t>θ1</t>
    </r>
  </si>
  <si>
    <t>Height of the embossment He &lt; 4 mm</t>
  </si>
  <si>
    <r>
      <t>θ</t>
    </r>
    <r>
      <rPr>
        <vertAlign val="subscript"/>
        <sz val="11"/>
        <color theme="0"/>
        <rFont val="Times New Roman"/>
        <family val="1"/>
      </rPr>
      <t>1</t>
    </r>
  </si>
  <si>
    <r>
      <t>θ</t>
    </r>
    <r>
      <rPr>
        <vertAlign val="subscript"/>
        <sz val="11"/>
        <color theme="0"/>
        <rFont val="Times New Roman"/>
        <family val="1"/>
      </rPr>
      <t>2</t>
    </r>
  </si>
  <si>
    <r>
      <t>θ</t>
    </r>
    <r>
      <rPr>
        <vertAlign val="subscript"/>
        <sz val="11"/>
        <color theme="0"/>
        <rFont val="Times New Roman"/>
        <family val="1"/>
      </rPr>
      <t>3</t>
    </r>
    <r>
      <rPr>
        <sz val="11"/>
        <color theme="1"/>
        <rFont val="Calibri"/>
        <family val="2"/>
        <scheme val="minor"/>
      </rPr>
      <t/>
    </r>
  </si>
  <si>
    <r>
      <t>Choose t</t>
    </r>
    <r>
      <rPr>
        <b/>
        <vertAlign val="subscript"/>
        <sz val="12"/>
        <color rgb="FFFF0000"/>
        <rFont val="Calibri"/>
        <scheme val="minor"/>
      </rPr>
      <t>nom</t>
    </r>
    <r>
      <rPr>
        <b/>
        <sz val="12"/>
        <color rgb="FFFF0000"/>
        <rFont val="Calibri"/>
        <scheme val="minor"/>
      </rPr>
      <t xml:space="preserve"> = 0.75 mm or t</t>
    </r>
    <r>
      <rPr>
        <b/>
        <vertAlign val="subscript"/>
        <sz val="12"/>
        <color rgb="FFFF0000"/>
        <rFont val="Calibri"/>
        <scheme val="minor"/>
      </rPr>
      <t>nom</t>
    </r>
    <r>
      <rPr>
        <b/>
        <sz val="12"/>
        <color rgb="FFFF0000"/>
        <rFont val="Calibri"/>
        <scheme val="minor"/>
      </rPr>
      <t xml:space="preserve"> = 1mm</t>
    </r>
  </si>
  <si>
    <r>
      <t>l</t>
    </r>
    <r>
      <rPr>
        <vertAlign val="subscript"/>
        <sz val="11"/>
        <rFont val="Times New Roman"/>
        <family val="1"/>
      </rPr>
      <t xml:space="preserve">i </t>
    </r>
    <r>
      <rPr>
        <sz val="11"/>
        <rFont val="Times New Roman"/>
        <family val="1"/>
      </rPr>
      <t>(mm)</t>
    </r>
  </si>
  <si>
    <r>
      <t>l</t>
    </r>
    <r>
      <rPr>
        <vertAlign val="subscript"/>
        <sz val="12"/>
        <color theme="1"/>
        <rFont val="Times New Roman"/>
      </rPr>
      <t>iz</t>
    </r>
    <r>
      <rPr>
        <sz val="12"/>
        <color theme="1"/>
        <rFont val="Times New Roman"/>
      </rPr>
      <t xml:space="preserve"> (mm)</t>
    </r>
  </si>
  <si>
    <r>
      <t>l</t>
    </r>
    <r>
      <rPr>
        <vertAlign val="subscript"/>
        <sz val="12"/>
        <color theme="1"/>
        <rFont val="Times New Roman"/>
      </rPr>
      <t>iy</t>
    </r>
    <r>
      <rPr>
        <sz val="12"/>
        <color theme="1"/>
        <rFont val="Times New Roman"/>
      </rPr>
      <t xml:space="preserve"> (mm)</t>
    </r>
  </si>
  <si>
    <r>
      <t>t</t>
    </r>
    <r>
      <rPr>
        <vertAlign val="subscript"/>
        <sz val="11"/>
        <color theme="1"/>
        <rFont val="Times New Roman"/>
        <family val="1"/>
      </rPr>
      <t>nom</t>
    </r>
    <r>
      <rPr>
        <sz val="11"/>
        <color theme="1"/>
        <rFont val="Times New Roman"/>
        <family val="1"/>
      </rPr>
      <t xml:space="preserve"> (mm)</t>
    </r>
  </si>
  <si>
    <t>tnom</t>
  </si>
  <si>
    <t>R1 (mm)</t>
  </si>
  <si>
    <r>
      <t>R2m</t>
    </r>
    <r>
      <rPr>
        <vertAlign val="subscript"/>
        <sz val="11"/>
        <color theme="1"/>
        <rFont val="Times New Roman"/>
        <family val="1"/>
      </rPr>
      <t>sup</t>
    </r>
  </si>
  <si>
    <r>
      <t>R2m</t>
    </r>
    <r>
      <rPr>
        <vertAlign val="subscript"/>
        <sz val="11"/>
        <color theme="1"/>
        <rFont val="Times New Roman"/>
        <family val="1"/>
      </rPr>
      <t>inf</t>
    </r>
  </si>
  <si>
    <t>R1m (ald R3m)</t>
  </si>
  <si>
    <t>R3m (ald R1m)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</si>
</sst>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0000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trike/>
      <sz val="11"/>
      <color theme="1"/>
      <name val="Calibri"/>
      <family val="2"/>
      <scheme val="minor"/>
    </font>
    <font>
      <vertAlign val="subscript"/>
      <sz val="11"/>
      <color rgb="FFFF0000"/>
      <name val="Times New Roman"/>
      <family val="1"/>
    </font>
    <font>
      <sz val="11"/>
      <name val="Calibri"/>
      <family val="2"/>
    </font>
    <font>
      <vertAlign val="subscript"/>
      <sz val="11"/>
      <name val="Times New Roman"/>
      <family val="1"/>
    </font>
    <font>
      <strike/>
      <sz val="11"/>
      <color theme="1"/>
      <name val="Times New Roman"/>
      <family val="1"/>
    </font>
    <font>
      <strike/>
      <vertAlign val="subscript"/>
      <sz val="11"/>
      <color theme="1"/>
      <name val="Times New Roman"/>
      <family val="1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</font>
    <font>
      <sz val="11"/>
      <color theme="1"/>
      <name val="Symbol"/>
      <family val="1"/>
      <charset val="2"/>
    </font>
    <font>
      <u/>
      <sz val="11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b/>
      <strike/>
      <sz val="11"/>
      <color theme="1"/>
      <name val="Times New Roman"/>
      <family val="1"/>
    </font>
    <font>
      <strike/>
      <sz val="11"/>
      <color theme="0"/>
      <name val="Calibri"/>
      <family val="2"/>
      <scheme val="minor"/>
    </font>
    <font>
      <sz val="11"/>
      <color theme="0"/>
      <name val="Times New Roman"/>
      <family val="1"/>
    </font>
    <font>
      <sz val="11"/>
      <color theme="0"/>
      <name val="Calibri"/>
      <family val="2"/>
      <scheme val="minor"/>
    </font>
    <font>
      <strike/>
      <sz val="11"/>
      <color theme="0" tint="-4.9989318521683403E-2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0" tint="-4.9989318521683403E-2"/>
      <name val="Times New Roman"/>
    </font>
    <font>
      <i/>
      <sz val="11"/>
      <color theme="1"/>
      <name val="Times New Roman"/>
      <family val="1"/>
    </font>
    <font>
      <i/>
      <sz val="11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sz val="11"/>
      <color theme="1"/>
      <name val="Calibri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rgb="FFFF0000"/>
      <name val="Calibri"/>
      <scheme val="minor"/>
    </font>
    <font>
      <b/>
      <u/>
      <sz val="12"/>
      <color theme="1"/>
      <name val="Calibri"/>
      <scheme val="minor"/>
    </font>
    <font>
      <sz val="12"/>
      <name val="Calibri"/>
      <scheme val="minor"/>
    </font>
    <font>
      <b/>
      <u/>
      <sz val="12"/>
      <name val="Calibri"/>
      <scheme val="minor"/>
    </font>
    <font>
      <sz val="12"/>
      <color theme="1"/>
      <name val="Times New Roman"/>
    </font>
    <font>
      <sz val="12"/>
      <color theme="1"/>
      <name val="Symbol"/>
      <family val="1"/>
      <charset val="2"/>
    </font>
    <font>
      <i/>
      <sz val="12"/>
      <color theme="1"/>
      <name val="Times New Roman"/>
    </font>
    <font>
      <vertAlign val="subscript"/>
      <sz val="12"/>
      <color theme="1"/>
      <name val="Times New Roman"/>
    </font>
    <font>
      <b/>
      <sz val="14"/>
      <color theme="1"/>
      <name val="Calibri"/>
      <scheme val="minor"/>
    </font>
    <font>
      <b/>
      <vertAlign val="subscript"/>
      <sz val="14"/>
      <color theme="1"/>
      <name val="Calibri"/>
      <scheme val="minor"/>
    </font>
    <font>
      <sz val="14"/>
      <color theme="1"/>
      <name val="Calibri"/>
      <scheme val="minor"/>
    </font>
    <font>
      <b/>
      <sz val="12"/>
      <color rgb="FFFF0000"/>
      <name val="Calibri"/>
      <scheme val="minor"/>
    </font>
    <font>
      <vertAlign val="subscript"/>
      <sz val="11"/>
      <color theme="0"/>
      <name val="Times New Roman"/>
      <family val="1"/>
    </font>
    <font>
      <sz val="12"/>
      <color theme="0"/>
      <name val="Times New Roman"/>
    </font>
    <font>
      <b/>
      <vertAlign val="subscript"/>
      <sz val="12"/>
      <color rgb="FFFF0000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99">
    <xf numFmtId="0" fontId="0" fillId="0" borderId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213">
    <xf numFmtId="0" fontId="0" fillId="0" borderId="0" xfId="0"/>
    <xf numFmtId="0" fontId="0" fillId="0" borderId="1" xfId="0" applyBorder="1"/>
    <xf numFmtId="0" fontId="1" fillId="0" borderId="1" xfId="0" applyFont="1" applyBorder="1"/>
    <xf numFmtId="2" fontId="0" fillId="0" borderId="1" xfId="0" applyNumberFormat="1" applyBorder="1"/>
    <xf numFmtId="0" fontId="0" fillId="0" borderId="0" xfId="0" applyBorder="1" applyAlignment="1">
      <alignment horizontal="center"/>
    </xf>
    <xf numFmtId="2" fontId="0" fillId="0" borderId="0" xfId="0" applyNumberFormat="1"/>
    <xf numFmtId="2" fontId="3" fillId="0" borderId="1" xfId="0" applyNumberFormat="1" applyFont="1" applyBorder="1"/>
    <xf numFmtId="2" fontId="1" fillId="0" borderId="1" xfId="0" applyNumberFormat="1" applyFont="1" applyBorder="1"/>
    <xf numFmtId="0" fontId="1" fillId="0" borderId="0" xfId="0" applyFont="1"/>
    <xf numFmtId="0" fontId="1" fillId="0" borderId="6" xfId="0" applyFont="1" applyFill="1" applyBorder="1"/>
    <xf numFmtId="2" fontId="1" fillId="0" borderId="0" xfId="0" applyNumberFormat="1" applyFont="1"/>
    <xf numFmtId="0" fontId="1" fillId="0" borderId="1" xfId="0" applyFont="1" applyFill="1" applyBorder="1"/>
    <xf numFmtId="164" fontId="1" fillId="0" borderId="1" xfId="0" applyNumberFormat="1" applyFont="1" applyBorder="1"/>
    <xf numFmtId="2" fontId="1" fillId="0" borderId="1" xfId="0" applyNumberFormat="1" applyFont="1" applyFill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5" fillId="0" borderId="0" xfId="0" applyFont="1"/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2" fontId="1" fillId="0" borderId="4" xfId="0" applyNumberFormat="1" applyFont="1" applyBorder="1"/>
    <xf numFmtId="0" fontId="1" fillId="0" borderId="3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right"/>
    </xf>
    <xf numFmtId="2" fontId="3" fillId="0" borderId="0" xfId="0" applyNumberFormat="1" applyFont="1"/>
    <xf numFmtId="0" fontId="7" fillId="0" borderId="0" xfId="0" quotePrefix="1" applyFont="1"/>
    <xf numFmtId="0" fontId="3" fillId="0" borderId="0" xfId="0" applyFont="1"/>
    <xf numFmtId="2" fontId="0" fillId="0" borderId="5" xfId="0" applyNumberFormat="1" applyFill="1" applyBorder="1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horizontal="left"/>
    </xf>
    <xf numFmtId="2" fontId="8" fillId="0" borderId="0" xfId="0" applyNumberFormat="1" applyFont="1" applyBorder="1"/>
    <xf numFmtId="165" fontId="8" fillId="0" borderId="0" xfId="0" applyNumberFormat="1" applyFont="1" applyBorder="1" applyAlignment="1">
      <alignment horizontal="right"/>
    </xf>
    <xf numFmtId="0" fontId="1" fillId="0" borderId="0" xfId="0" applyFont="1" applyFill="1" applyBorder="1"/>
    <xf numFmtId="0" fontId="7" fillId="0" borderId="1" xfId="0" applyFont="1" applyBorder="1"/>
    <xf numFmtId="2" fontId="4" fillId="0" borderId="1" xfId="0" applyNumberFormat="1" applyFont="1" applyFill="1" applyBorder="1"/>
    <xf numFmtId="0" fontId="1" fillId="0" borderId="0" xfId="0" applyFont="1" applyFill="1"/>
    <xf numFmtId="0" fontId="9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/>
    <xf numFmtId="0" fontId="14" fillId="0" borderId="0" xfId="0" applyFont="1" applyBorder="1" applyAlignment="1">
      <alignment horizontal="center"/>
    </xf>
    <xf numFmtId="0" fontId="14" fillId="0" borderId="0" xfId="0" applyFont="1"/>
    <xf numFmtId="2" fontId="14" fillId="0" borderId="2" xfId="0" applyNumberFormat="1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0" fontId="14" fillId="0" borderId="1" xfId="0" applyFont="1" applyBorder="1"/>
    <xf numFmtId="0" fontId="14" fillId="0" borderId="1" xfId="0" applyFont="1" applyFill="1" applyBorder="1"/>
    <xf numFmtId="0" fontId="10" fillId="0" borderId="0" xfId="0" applyFont="1"/>
    <xf numFmtId="2" fontId="10" fillId="0" borderId="1" xfId="0" applyNumberFormat="1" applyFont="1" applyBorder="1"/>
    <xf numFmtId="2" fontId="7" fillId="0" borderId="0" xfId="0" quotePrefix="1" applyNumberFormat="1" applyFont="1"/>
    <xf numFmtId="0" fontId="9" fillId="0" borderId="0" xfId="0" applyFont="1" applyBorder="1"/>
    <xf numFmtId="0" fontId="4" fillId="0" borderId="1" xfId="0" applyFont="1" applyBorder="1" applyAlignment="1">
      <alignment horizontal="left"/>
    </xf>
    <xf numFmtId="2" fontId="0" fillId="0" borderId="0" xfId="0" applyNumberFormat="1" applyAlignment="1">
      <alignment horizontal="center"/>
    </xf>
    <xf numFmtId="164" fontId="0" fillId="0" borderId="1" xfId="0" applyNumberFormat="1" applyBorder="1"/>
    <xf numFmtId="164" fontId="0" fillId="0" borderId="0" xfId="0" applyNumberFormat="1"/>
    <xf numFmtId="2" fontId="0" fillId="2" borderId="1" xfId="0" applyNumberFormat="1" applyFill="1" applyBorder="1"/>
    <xf numFmtId="0" fontId="1" fillId="0" borderId="0" xfId="0" applyFont="1" applyAlignment="1">
      <alignment shrinkToFit="1"/>
    </xf>
    <xf numFmtId="0" fontId="1" fillId="0" borderId="1" xfId="0" applyFont="1" applyBorder="1" applyAlignment="1">
      <alignment shrinkToFit="1"/>
    </xf>
    <xf numFmtId="0" fontId="19" fillId="0" borderId="1" xfId="0" applyFont="1" applyBorder="1" applyAlignment="1">
      <alignment shrinkToFit="1"/>
    </xf>
    <xf numFmtId="2" fontId="1" fillId="0" borderId="1" xfId="0" applyNumberFormat="1" applyFont="1" applyBorder="1" applyAlignment="1">
      <alignment shrinkToFit="1"/>
    </xf>
    <xf numFmtId="2" fontId="3" fillId="0" borderId="1" xfId="0" applyNumberFormat="1" applyFont="1" applyBorder="1" applyAlignment="1">
      <alignment shrinkToFit="1"/>
    </xf>
    <xf numFmtId="0" fontId="0" fillId="0" borderId="0" xfId="0" applyAlignment="1">
      <alignment shrinkToFit="1"/>
    </xf>
    <xf numFmtId="0" fontId="1" fillId="0" borderId="1" xfId="0" applyFont="1" applyFill="1" applyBorder="1" applyAlignment="1">
      <alignment shrinkToFit="1"/>
    </xf>
    <xf numFmtId="2" fontId="1" fillId="0" borderId="0" xfId="0" applyNumberFormat="1" applyFont="1" applyAlignment="1">
      <alignment shrinkToFit="1"/>
    </xf>
    <xf numFmtId="0" fontId="20" fillId="0" borderId="0" xfId="0" applyFont="1" applyAlignment="1">
      <alignment shrinkToFit="1"/>
    </xf>
    <xf numFmtId="0" fontId="9" fillId="0" borderId="1" xfId="0" applyFont="1" applyBorder="1" applyAlignment="1">
      <alignment shrinkToFit="1"/>
    </xf>
    <xf numFmtId="164" fontId="1" fillId="0" borderId="1" xfId="0" applyNumberFormat="1" applyFont="1" applyBorder="1" applyAlignment="1">
      <alignment shrinkToFit="1"/>
    </xf>
    <xf numFmtId="0" fontId="1" fillId="2" borderId="1" xfId="0" applyFont="1" applyFill="1" applyBorder="1" applyAlignment="1">
      <alignment shrinkToFit="1"/>
    </xf>
    <xf numFmtId="2" fontId="1" fillId="3" borderId="1" xfId="0" applyNumberFormat="1" applyFont="1" applyFill="1" applyBorder="1"/>
    <xf numFmtId="0" fontId="1" fillId="3" borderId="0" xfId="0" applyFont="1" applyFill="1"/>
    <xf numFmtId="2" fontId="8" fillId="0" borderId="1" xfId="0" applyNumberFormat="1" applyFont="1" applyBorder="1"/>
    <xf numFmtId="2" fontId="4" fillId="0" borderId="1" xfId="0" applyNumberFormat="1" applyFont="1" applyBorder="1"/>
    <xf numFmtId="2" fontId="0" fillId="4" borderId="1" xfId="0" applyNumberFormat="1" applyFill="1" applyBorder="1"/>
    <xf numFmtId="2" fontId="21" fillId="0" borderId="0" xfId="0" applyNumberFormat="1" applyFont="1"/>
    <xf numFmtId="2" fontId="1" fillId="5" borderId="1" xfId="0" applyNumberFormat="1" applyFont="1" applyFill="1" applyBorder="1"/>
    <xf numFmtId="2" fontId="1" fillId="4" borderId="1" xfId="0" applyNumberFormat="1" applyFont="1" applyFill="1" applyBorder="1"/>
    <xf numFmtId="0" fontId="1" fillId="5" borderId="1" xfId="0" applyFont="1" applyFill="1" applyBorder="1"/>
    <xf numFmtId="164" fontId="1" fillId="6" borderId="1" xfId="0" applyNumberFormat="1" applyFont="1" applyFill="1" applyBorder="1" applyAlignment="1">
      <alignment horizontal="center"/>
    </xf>
    <xf numFmtId="0" fontId="1" fillId="6" borderId="0" xfId="0" applyFont="1" applyFill="1"/>
    <xf numFmtId="0" fontId="22" fillId="6" borderId="0" xfId="0" applyFont="1" applyFill="1"/>
    <xf numFmtId="0" fontId="14" fillId="6" borderId="0" xfId="0" applyFont="1" applyFill="1"/>
    <xf numFmtId="0" fontId="14" fillId="6" borderId="1" xfId="0" applyFont="1" applyFill="1" applyBorder="1"/>
    <xf numFmtId="2" fontId="14" fillId="6" borderId="1" xfId="0" applyNumberFormat="1" applyFont="1" applyFill="1" applyBorder="1"/>
    <xf numFmtId="0" fontId="0" fillId="2" borderId="0" xfId="0" applyFill="1"/>
    <xf numFmtId="164" fontId="3" fillId="0" borderId="1" xfId="0" applyNumberFormat="1" applyFont="1" applyBorder="1"/>
    <xf numFmtId="0" fontId="23" fillId="0" borderId="0" xfId="0" applyFont="1" applyFill="1" applyBorder="1"/>
    <xf numFmtId="165" fontId="23" fillId="0" borderId="0" xfId="0" applyNumberFormat="1" applyFont="1" applyBorder="1" applyAlignment="1">
      <alignment horizontal="right"/>
    </xf>
    <xf numFmtId="0" fontId="24" fillId="0" borderId="0" xfId="0" applyFont="1"/>
    <xf numFmtId="0" fontId="25" fillId="0" borderId="0" xfId="0" applyFont="1"/>
    <xf numFmtId="165" fontId="23" fillId="0" borderId="0" xfId="0" applyNumberFormat="1" applyFont="1" applyBorder="1" applyAlignment="1">
      <alignment horizontal="right" vertical="center"/>
    </xf>
    <xf numFmtId="165" fontId="23" fillId="0" borderId="0" xfId="0" applyNumberFormat="1" applyFont="1" applyAlignment="1">
      <alignment horizontal="right" vertical="center"/>
    </xf>
    <xf numFmtId="0" fontId="23" fillId="0" borderId="0" xfId="0" applyFont="1" applyBorder="1" applyAlignment="1">
      <alignment horizontal="left" vertical="center"/>
    </xf>
    <xf numFmtId="0" fontId="12" fillId="0" borderId="0" xfId="0" applyFont="1" applyBorder="1"/>
    <xf numFmtId="0" fontId="4" fillId="0" borderId="0" xfId="0" applyFont="1"/>
    <xf numFmtId="0" fontId="8" fillId="0" borderId="0" xfId="0" applyFont="1" applyBorder="1"/>
    <xf numFmtId="0" fontId="8" fillId="0" borderId="0" xfId="0" applyFont="1" applyFill="1" applyBorder="1"/>
    <xf numFmtId="0" fontId="8" fillId="0" borderId="0" xfId="0" applyFont="1" applyBorder="1" applyAlignment="1">
      <alignment horizontal="left"/>
    </xf>
    <xf numFmtId="0" fontId="26" fillId="0" borderId="0" xfId="0" applyFont="1" applyFill="1" applyBorder="1"/>
    <xf numFmtId="165" fontId="26" fillId="0" borderId="0" xfId="0" applyNumberFormat="1" applyFont="1" applyBorder="1" applyAlignment="1">
      <alignment horizontal="right"/>
    </xf>
    <xf numFmtId="165" fontId="26" fillId="0" borderId="0" xfId="0" applyNumberFormat="1" applyFont="1" applyBorder="1" applyAlignment="1">
      <alignment horizontal="right" vertical="center"/>
    </xf>
    <xf numFmtId="165" fontId="26" fillId="0" borderId="0" xfId="0" applyNumberFormat="1" applyFont="1" applyAlignment="1">
      <alignment horizontal="right" vertical="center"/>
    </xf>
    <xf numFmtId="0" fontId="26" fillId="0" borderId="0" xfId="0" applyFont="1" applyBorder="1" applyAlignment="1">
      <alignment horizontal="left" vertical="center"/>
    </xf>
    <xf numFmtId="2" fontId="0" fillId="0" borderId="1" xfId="0" applyNumberFormat="1" applyFill="1" applyBorder="1"/>
    <xf numFmtId="164" fontId="8" fillId="0" borderId="1" xfId="0" applyNumberFormat="1" applyFont="1" applyBorder="1"/>
    <xf numFmtId="0" fontId="29" fillId="0" borderId="1" xfId="0" applyFont="1" applyFill="1" applyBorder="1" applyAlignment="1">
      <alignment shrinkToFit="1"/>
    </xf>
    <xf numFmtId="164" fontId="29" fillId="0" borderId="1" xfId="0" applyNumberFormat="1" applyFont="1" applyBorder="1" applyAlignment="1">
      <alignment shrinkToFit="1"/>
    </xf>
    <xf numFmtId="0" fontId="29" fillId="0" borderId="1" xfId="0" applyFont="1" applyBorder="1" applyAlignment="1">
      <alignment shrinkToFit="1"/>
    </xf>
    <xf numFmtId="2" fontId="1" fillId="0" borderId="1" xfId="0" applyNumberFormat="1" applyFont="1" applyBorder="1" applyAlignment="1">
      <alignment horizontal="right" shrinkToFit="1"/>
    </xf>
    <xf numFmtId="0" fontId="1" fillId="0" borderId="0" xfId="0" applyFont="1" applyAlignment="1">
      <alignment horizontal="right" vertical="center" shrinkToFit="1"/>
    </xf>
    <xf numFmtId="0" fontId="1" fillId="4" borderId="1" xfId="0" applyFont="1" applyFill="1" applyBorder="1" applyAlignment="1">
      <alignment shrinkToFit="1"/>
    </xf>
    <xf numFmtId="0" fontId="24" fillId="0" borderId="0" xfId="0" applyFont="1" applyAlignment="1">
      <alignment shrinkToFit="1"/>
    </xf>
    <xf numFmtId="0" fontId="24" fillId="0" borderId="1" xfId="0" applyFont="1" applyBorder="1" applyAlignment="1">
      <alignment shrinkToFit="1"/>
    </xf>
    <xf numFmtId="2" fontId="24" fillId="0" borderId="1" xfId="0" applyNumberFormat="1" applyFont="1" applyBorder="1" applyAlignment="1">
      <alignment shrinkToFit="1"/>
    </xf>
    <xf numFmtId="164" fontId="29" fillId="0" borderId="1" xfId="0" applyNumberFormat="1" applyFont="1" applyFill="1" applyBorder="1" applyAlignment="1">
      <alignment shrinkToFit="1"/>
    </xf>
    <xf numFmtId="1" fontId="3" fillId="0" borderId="0" xfId="0" applyNumberFormat="1" applyFont="1"/>
    <xf numFmtId="1" fontId="1" fillId="0" borderId="0" xfId="0" applyNumberFormat="1" applyFont="1"/>
    <xf numFmtId="1" fontId="1" fillId="7" borderId="0" xfId="0" applyNumberFormat="1" applyFont="1" applyFill="1"/>
    <xf numFmtId="164" fontId="1" fillId="7" borderId="1" xfId="0" applyNumberFormat="1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1" fillId="0" borderId="0" xfId="0" applyFont="1"/>
    <xf numFmtId="0" fontId="30" fillId="0" borderId="0" xfId="0" applyFont="1"/>
    <xf numFmtId="0" fontId="1" fillId="4" borderId="0" xfId="0" applyFont="1" applyFill="1"/>
    <xf numFmtId="2" fontId="4" fillId="7" borderId="0" xfId="0" applyNumberFormat="1" applyFont="1" applyFill="1"/>
    <xf numFmtId="10" fontId="1" fillId="0" borderId="0" xfId="0" applyNumberFormat="1" applyFont="1"/>
    <xf numFmtId="2" fontId="1" fillId="2" borderId="1" xfId="0" applyNumberFormat="1" applyFont="1" applyFill="1" applyBorder="1" applyAlignment="1">
      <alignment horizontal="center"/>
    </xf>
    <xf numFmtId="2" fontId="1" fillId="0" borderId="0" xfId="0" applyNumberFormat="1" applyFont="1" applyBorder="1"/>
    <xf numFmtId="2" fontId="1" fillId="8" borderId="1" xfId="0" applyNumberFormat="1" applyFont="1" applyFill="1" applyBorder="1" applyAlignment="1">
      <alignment horizontal="right"/>
    </xf>
    <xf numFmtId="0" fontId="32" fillId="0" borderId="1" xfId="0" applyFont="1" applyBorder="1"/>
    <xf numFmtId="2" fontId="14" fillId="0" borderId="1" xfId="0" applyNumberFormat="1" applyFont="1" applyFill="1" applyBorder="1"/>
    <xf numFmtId="0" fontId="1" fillId="10" borderId="1" xfId="0" applyFont="1" applyFill="1" applyBorder="1"/>
    <xf numFmtId="164" fontId="1" fillId="0" borderId="1" xfId="0" applyNumberFormat="1" applyFont="1" applyFill="1" applyBorder="1" applyAlignment="1">
      <alignment horizontal="center"/>
    </xf>
    <xf numFmtId="165" fontId="32" fillId="0" borderId="0" xfId="0" applyNumberFormat="1" applyFont="1" applyBorder="1" applyAlignment="1">
      <alignment horizontal="right"/>
    </xf>
    <xf numFmtId="166" fontId="0" fillId="0" borderId="1" xfId="0" applyNumberFormat="1" applyFill="1" applyBorder="1"/>
    <xf numFmtId="166" fontId="8" fillId="9" borderId="1" xfId="0" applyNumberFormat="1" applyFont="1" applyFill="1" applyBorder="1"/>
    <xf numFmtId="166" fontId="0" fillId="9" borderId="1" xfId="0" applyNumberFormat="1" applyFill="1" applyBorder="1"/>
    <xf numFmtId="0" fontId="36" fillId="11" borderId="0" xfId="0" applyFont="1" applyFill="1"/>
    <xf numFmtId="0" fontId="0" fillId="11" borderId="0" xfId="0" applyFill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35" fillId="0" borderId="0" xfId="0" applyFont="1"/>
    <xf numFmtId="0" fontId="35" fillId="12" borderId="0" xfId="0" applyFont="1" applyFill="1"/>
    <xf numFmtId="0" fontId="0" fillId="0" borderId="1" xfId="0" applyBorder="1" applyAlignment="1">
      <alignment horizontal="center"/>
    </xf>
    <xf numFmtId="165" fontId="40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9" xfId="0" applyFill="1" applyBorder="1" applyAlignment="1">
      <alignment horizontal="center" vertical="center"/>
    </xf>
    <xf numFmtId="164" fontId="0" fillId="0" borderId="9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40" fillId="0" borderId="1" xfId="0" applyFont="1" applyBorder="1"/>
    <xf numFmtId="164" fontId="1" fillId="8" borderId="1" xfId="0" applyNumberFormat="1" applyFont="1" applyFill="1" applyBorder="1"/>
    <xf numFmtId="0" fontId="40" fillId="0" borderId="0" xfId="0" applyFont="1"/>
    <xf numFmtId="2" fontId="3" fillId="0" borderId="0" xfId="0" applyNumberFormat="1" applyFont="1" applyBorder="1" applyAlignment="1"/>
    <xf numFmtId="0" fontId="4" fillId="0" borderId="1" xfId="0" applyFont="1" applyBorder="1"/>
    <xf numFmtId="0" fontId="4" fillId="0" borderId="1" xfId="0" applyFont="1" applyFill="1" applyBorder="1"/>
    <xf numFmtId="0" fontId="0" fillId="0" borderId="1" xfId="0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40" fillId="0" borderId="1" xfId="0" applyFont="1" applyBorder="1" applyAlignment="1">
      <alignment horizontal="right" vertical="center"/>
    </xf>
    <xf numFmtId="0" fontId="34" fillId="0" borderId="0" xfId="0" applyFont="1"/>
    <xf numFmtId="0" fontId="44" fillId="3" borderId="1" xfId="0" applyFont="1" applyFill="1" applyBorder="1" applyAlignment="1">
      <alignment horizontal="center" vertical="center"/>
    </xf>
    <xf numFmtId="0" fontId="46" fillId="3" borderId="1" xfId="0" applyFont="1" applyFill="1" applyBorder="1" applyAlignment="1">
      <alignment horizontal="center"/>
    </xf>
    <xf numFmtId="0" fontId="46" fillId="3" borderId="7" xfId="0" applyFont="1" applyFill="1" applyBorder="1" applyAlignment="1">
      <alignment horizontal="center"/>
    </xf>
    <xf numFmtId="164" fontId="44" fillId="3" borderId="1" xfId="0" applyNumberFormat="1" applyFont="1" applyFill="1" applyBorder="1" applyAlignment="1">
      <alignment horizontal="center"/>
    </xf>
    <xf numFmtId="2" fontId="44" fillId="3" borderId="1" xfId="0" applyNumberFormat="1" applyFont="1" applyFill="1" applyBorder="1" applyAlignment="1">
      <alignment horizontal="center"/>
    </xf>
    <xf numFmtId="2" fontId="44" fillId="0" borderId="0" xfId="0" applyNumberFormat="1" applyFont="1" applyFill="1" applyBorder="1"/>
    <xf numFmtId="0" fontId="44" fillId="8" borderId="1" xfId="0" applyFont="1" applyFill="1" applyBorder="1" applyAlignment="1">
      <alignment horizontal="center" vertical="center"/>
    </xf>
    <xf numFmtId="0" fontId="46" fillId="8" borderId="1" xfId="0" applyFont="1" applyFill="1" applyBorder="1" applyAlignment="1">
      <alignment horizontal="center"/>
    </xf>
    <xf numFmtId="0" fontId="46" fillId="8" borderId="7" xfId="0" applyFont="1" applyFill="1" applyBorder="1" applyAlignment="1">
      <alignment horizontal="center"/>
    </xf>
    <xf numFmtId="164" fontId="44" fillId="8" borderId="1" xfId="0" applyNumberFormat="1" applyFont="1" applyFill="1" applyBorder="1" applyAlignment="1">
      <alignment horizontal="center"/>
    </xf>
    <xf numFmtId="2" fontId="44" fillId="8" borderId="10" xfId="0" applyNumberFormat="1" applyFont="1" applyFill="1" applyBorder="1" applyAlignment="1">
      <alignment horizontal="center"/>
    </xf>
    <xf numFmtId="2" fontId="44" fillId="8" borderId="1" xfId="0" applyNumberFormat="1" applyFont="1" applyFill="1" applyBorder="1" applyAlignment="1">
      <alignment horizontal="center"/>
    </xf>
    <xf numFmtId="0" fontId="0" fillId="0" borderId="0" xfId="0" applyFill="1"/>
    <xf numFmtId="0" fontId="35" fillId="0" borderId="0" xfId="0" applyFont="1" applyFill="1" applyBorder="1"/>
    <xf numFmtId="0" fontId="0" fillId="0" borderId="0" xfId="0" applyFont="1" applyFill="1" applyBorder="1"/>
    <xf numFmtId="0" fontId="38" fillId="0" borderId="0" xfId="0" applyFont="1" applyFill="1" applyBorder="1"/>
    <xf numFmtId="0" fontId="0" fillId="0" borderId="0" xfId="0" applyFont="1" applyFill="1" applyBorder="1" applyAlignment="1">
      <alignment horizontal="center"/>
    </xf>
    <xf numFmtId="165" fontId="4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 applyProtection="1">
      <alignment horizontal="center" vertical="center"/>
      <protection locked="0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ill="1" applyBorder="1"/>
    <xf numFmtId="0" fontId="33" fillId="0" borderId="0" xfId="0" applyFont="1" applyFill="1"/>
    <xf numFmtId="0" fontId="32" fillId="0" borderId="0" xfId="0" applyFont="1" applyFill="1" applyBorder="1"/>
    <xf numFmtId="0" fontId="32" fillId="0" borderId="0" xfId="0" applyFont="1" applyBorder="1" applyAlignment="1">
      <alignment horizontal="left" vertical="center"/>
    </xf>
    <xf numFmtId="165" fontId="32" fillId="0" borderId="0" xfId="0" applyNumberFormat="1" applyFont="1" applyBorder="1" applyAlignment="1">
      <alignment horizontal="right" vertical="center"/>
    </xf>
    <xf numFmtId="0" fontId="47" fillId="0" borderId="3" xfId="0" applyFont="1" applyBorder="1"/>
    <xf numFmtId="0" fontId="0" fillId="0" borderId="10" xfId="0" applyFont="1" applyBorder="1"/>
    <xf numFmtId="0" fontId="0" fillId="0" borderId="7" xfId="0" applyFont="1" applyBorder="1"/>
    <xf numFmtId="165" fontId="3" fillId="0" borderId="1" xfId="0" applyNumberFormat="1" applyFont="1" applyBorder="1"/>
    <xf numFmtId="0" fontId="24" fillId="0" borderId="8" xfId="0" applyFont="1" applyFill="1" applyBorder="1"/>
    <xf numFmtId="0" fontId="24" fillId="0" borderId="0" xfId="0" applyFont="1" applyFill="1" applyBorder="1"/>
    <xf numFmtId="0" fontId="49" fillId="0" borderId="0" xfId="0" applyFont="1" applyFill="1" applyBorder="1"/>
    <xf numFmtId="0" fontId="0" fillId="13" borderId="1" xfId="0" applyFill="1" applyBorder="1" applyProtection="1">
      <protection locked="0"/>
    </xf>
    <xf numFmtId="2" fontId="1" fillId="13" borderId="1" xfId="0" applyNumberFormat="1" applyFont="1" applyFill="1" applyBorder="1" applyProtection="1">
      <protection locked="0"/>
    </xf>
    <xf numFmtId="2" fontId="40" fillId="13" borderId="1" xfId="0" applyNumberFormat="1" applyFont="1" applyFill="1" applyBorder="1" applyProtection="1">
      <protection locked="0"/>
    </xf>
    <xf numFmtId="2" fontId="4" fillId="13" borderId="1" xfId="0" applyNumberFormat="1" applyFont="1" applyFill="1" applyBorder="1" applyAlignment="1" applyProtection="1">
      <protection locked="0"/>
    </xf>
    <xf numFmtId="0" fontId="0" fillId="0" borderId="1" xfId="0" applyFill="1" applyBorder="1" applyAlignment="1" applyProtection="1">
      <alignment horizontal="center" vertic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Font="1" applyFill="1" applyBorder="1" applyAlignment="1">
      <alignment horizontal="center"/>
    </xf>
  </cellXfs>
  <cellStyles count="29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099518810149"/>
          <c:y val="5.5555555555555497E-2"/>
          <c:w val="0.68874081364829398"/>
          <c:h val="0.73783498216569099"/>
        </c:manualLayout>
      </c:layout>
      <c:scatterChart>
        <c:scatterStyle val="lineMarker"/>
        <c:varyColors val="0"/>
        <c:ser>
          <c:idx val="0"/>
          <c:order val="0"/>
          <c:tx>
            <c:v> bu=60mm</c:v>
          </c:tx>
          <c:marker>
            <c:symbol val="none"/>
          </c:marker>
          <c:xVal>
            <c:numRef>
              <c:f>data!$J$50:$J$53</c:f>
              <c:numCache>
                <c:formatCode>0.00</c:formatCode>
                <c:ptCount val="4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data!$K$50:$K$53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0</c:v>
                </c:pt>
              </c:numCache>
            </c:numRef>
          </c:yVal>
          <c:smooth val="0"/>
        </c:ser>
        <c:ser>
          <c:idx val="1"/>
          <c:order val="1"/>
          <c:spPr>
            <a:ln w="19050">
              <a:solidFill>
                <a:schemeClr val="accent1"/>
              </a:solidFill>
              <a:prstDash val="dash"/>
            </a:ln>
          </c:spPr>
          <c:marker>
            <c:symbol val="none"/>
          </c:marker>
          <c:xVal>
            <c:numRef>
              <c:f>data!$L$50:$L$51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xVal>
          <c:yVal>
            <c:numRef>
              <c:f>data!$M$50:$M$51</c:f>
              <c:numCache>
                <c:formatCode>General</c:formatCode>
                <c:ptCount val="2"/>
                <c:pt idx="0" formatCode="0.00">
                  <c:v>0</c:v>
                </c:pt>
                <c:pt idx="1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v> bu=160mm</c:v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xVal>
            <c:numRef>
              <c:f>data!$J$57:$J$60</c:f>
              <c:numCache>
                <c:formatCode>0.00</c:formatCode>
                <c:ptCount val="4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data!$K$57:$K$60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0</c:v>
                </c:pt>
              </c:numCache>
            </c:numRef>
          </c:yVal>
          <c:smooth val="0"/>
        </c:ser>
        <c:ser>
          <c:idx val="3"/>
          <c:order val="3"/>
          <c:spPr>
            <a:ln w="19050">
              <a:solidFill>
                <a:srgbClr val="008000"/>
              </a:solidFill>
              <a:prstDash val="dash"/>
            </a:ln>
          </c:spPr>
          <c:xVal>
            <c:numRef>
              <c:f>data!$L$57:$L$58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xVal>
          <c:yVal>
            <c:numRef>
              <c:f>data!$M$57:$M$58</c:f>
              <c:numCache>
                <c:formatCode>General</c:formatCode>
                <c:ptCount val="2"/>
                <c:pt idx="0" formatCode="0.00">
                  <c:v>0</c:v>
                </c:pt>
                <c:pt idx="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274304"/>
        <c:axId val="57274880"/>
      </c:scatterChart>
      <c:valAx>
        <c:axId val="57274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R (kN/m)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7274880"/>
        <c:crosses val="autoZero"/>
        <c:crossBetween val="midCat"/>
      </c:valAx>
      <c:valAx>
        <c:axId val="572748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M (kNm/m)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57274304"/>
        <c:crosses val="autoZero"/>
        <c:crossBetween val="midCat"/>
      </c:valAx>
    </c:plotArea>
    <c:legend>
      <c:legendPos val="r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58611111111111103"/>
          <c:y val="0.28187394844875202"/>
          <c:w val="0.16875000000000001"/>
          <c:h val="0.16735761154855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données!$C$52:$C$61</c:f>
              <c:numCache>
                <c:formatCode>0.00</c:formatCode>
                <c:ptCount val="10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xVal>
          <c:yVal>
            <c:numRef>
              <c:f>données!$D$52:$D$61</c:f>
              <c:numCache>
                <c:formatCode>General</c:formatCode>
                <c:ptCount val="10"/>
                <c:pt idx="0">
                  <c:v>60</c:v>
                </c:pt>
                <c:pt idx="1">
                  <c:v>60</c:v>
                </c:pt>
                <c:pt idx="2" formatCode="0.00">
                  <c:v>60</c:v>
                </c:pt>
                <c:pt idx="3">
                  <c:v>60</c:v>
                </c:pt>
                <c:pt idx="4">
                  <c:v>60</c:v>
                </c:pt>
                <c:pt idx="5" formatCode="0.00">
                  <c:v>60</c:v>
                </c:pt>
                <c:pt idx="6" formatCode="0.00">
                  <c:v>60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666752"/>
        <c:axId val="96667328"/>
      </c:scatterChart>
      <c:valAx>
        <c:axId val="9666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6667328"/>
        <c:crosses val="autoZero"/>
        <c:crossBetween val="midCat"/>
      </c:valAx>
      <c:valAx>
        <c:axId val="96667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6667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3" l="0.70000000000000095" r="0.70000000000000095" t="0.750000000000003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none"/>
          </c:marker>
          <c:dPt>
            <c:idx val="0"/>
            <c:bubble3D val="0"/>
            <c:spPr>
              <a:ln>
                <a:noFill/>
              </a:ln>
            </c:spPr>
          </c:dPt>
          <c:dPt>
            <c:idx val="1"/>
            <c:bubble3D val="0"/>
            <c:spPr>
              <a:ln>
                <a:noFill/>
              </a:ln>
            </c:spPr>
          </c:dPt>
          <c:dPt>
            <c:idx val="6"/>
            <c:bubble3D val="0"/>
            <c:spPr>
              <a:ln>
                <a:noFill/>
              </a:ln>
            </c:spPr>
          </c:dPt>
          <c:dPt>
            <c:idx val="14"/>
            <c:bubble3D val="0"/>
            <c:spPr>
              <a:ln>
                <a:noFill/>
              </a:ln>
            </c:spPr>
          </c:dPt>
          <c:xVal>
            <c:numRef>
              <c:f>résistance_section!$C$44:$C$61</c:f>
              <c:numCache>
                <c:formatCode>0.00</c:formatCode>
                <c:ptCount val="18"/>
                <c:pt idx="0" formatCode="General">
                  <c:v>0</c:v>
                </c:pt>
                <c:pt idx="1">
                  <c:v>15</c:v>
                </c:pt>
                <c:pt idx="2" formatCode="General">
                  <c:v>15</c:v>
                </c:pt>
                <c:pt idx="3" formatCode="General">
                  <c:v>22</c:v>
                </c:pt>
                <c:pt idx="4" formatCode="General">
                  <c:v>29</c:v>
                </c:pt>
                <c:pt idx="5">
                  <c:v>0</c:v>
                </c:pt>
                <c:pt idx="6">
                  <c:v>0</c:v>
                </c:pt>
                <c:pt idx="7">
                  <c:v>29</c:v>
                </c:pt>
                <c:pt idx="8">
                  <c:v>0</c:v>
                </c:pt>
                <c:pt idx="9">
                  <c:v>0</c:v>
                </c:pt>
                <c:pt idx="10">
                  <c:v>33</c:v>
                </c:pt>
                <c:pt idx="11">
                  <c:v>43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General">
                  <c:v>53</c:v>
                </c:pt>
                <c:pt idx="16" formatCode="General">
                  <c:v>89</c:v>
                </c:pt>
                <c:pt idx="17" formatCode="General">
                  <c:v>97</c:v>
                </c:pt>
              </c:numCache>
            </c:numRef>
          </c:xVal>
          <c:yVal>
            <c:numRef>
              <c:f>résistance_section!$D$44:$D$61</c:f>
              <c:numCache>
                <c:formatCode>General</c:formatCode>
                <c:ptCount val="18"/>
                <c:pt idx="0">
                  <c:v>112</c:v>
                </c:pt>
                <c:pt idx="1">
                  <c:v>112</c:v>
                </c:pt>
                <c:pt idx="2">
                  <c:v>112</c:v>
                </c:pt>
                <c:pt idx="3">
                  <c:v>105</c:v>
                </c:pt>
                <c:pt idx="4">
                  <c:v>112</c:v>
                </c:pt>
                <c:pt idx="5">
                  <c:v>112</c:v>
                </c:pt>
                <c:pt idx="6">
                  <c:v>112</c:v>
                </c:pt>
                <c:pt idx="7">
                  <c:v>112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82</c:v>
                </c:pt>
                <c:pt idx="11" formatCode="0.00">
                  <c:v>75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669056"/>
        <c:axId val="96669632"/>
      </c:scatterChart>
      <c:valAx>
        <c:axId val="96669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6669632"/>
        <c:crosses val="autoZero"/>
        <c:crossBetween val="midCat"/>
      </c:valAx>
      <c:valAx>
        <c:axId val="96669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6690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3" l="0.70000000000000095" r="0.70000000000000095" t="0.750000000000003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none"/>
          </c:marker>
          <c:dPt>
            <c:idx val="0"/>
            <c:bubble3D val="0"/>
            <c:spPr>
              <a:ln>
                <a:noFill/>
              </a:ln>
            </c:spPr>
          </c:dPt>
          <c:dPt>
            <c:idx val="1"/>
            <c:bubble3D val="0"/>
            <c:spPr>
              <a:ln>
                <a:noFill/>
              </a:ln>
            </c:spPr>
          </c:dPt>
          <c:dPt>
            <c:idx val="6"/>
            <c:bubble3D val="0"/>
            <c:spPr>
              <a:ln>
                <a:noFill/>
              </a:ln>
            </c:spPr>
          </c:dPt>
          <c:dPt>
            <c:idx val="14"/>
            <c:bubble3D val="0"/>
            <c:spPr>
              <a:ln>
                <a:noFill/>
              </a:ln>
            </c:spPr>
          </c:dPt>
          <c:xVal>
            <c:numRef>
              <c:f>'résistance_section (2)'!$C$44:$C$61</c:f>
              <c:numCache>
                <c:formatCode>0.00</c:formatCode>
                <c:ptCount val="18"/>
                <c:pt idx="0" formatCode="General">
                  <c:v>0</c:v>
                </c:pt>
                <c:pt idx="1">
                  <c:v>15</c:v>
                </c:pt>
                <c:pt idx="2" formatCode="General">
                  <c:v>15</c:v>
                </c:pt>
                <c:pt idx="3" formatCode="General">
                  <c:v>22</c:v>
                </c:pt>
                <c:pt idx="4" formatCode="General">
                  <c:v>29</c:v>
                </c:pt>
                <c:pt idx="5">
                  <c:v>0</c:v>
                </c:pt>
                <c:pt idx="6">
                  <c:v>0</c:v>
                </c:pt>
                <c:pt idx="7">
                  <c:v>29</c:v>
                </c:pt>
                <c:pt idx="8">
                  <c:v>0</c:v>
                </c:pt>
                <c:pt idx="9">
                  <c:v>0</c:v>
                </c:pt>
                <c:pt idx="10">
                  <c:v>33</c:v>
                </c:pt>
                <c:pt idx="11">
                  <c:v>43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General">
                  <c:v>53</c:v>
                </c:pt>
                <c:pt idx="16" formatCode="General">
                  <c:v>89</c:v>
                </c:pt>
                <c:pt idx="17" formatCode="General">
                  <c:v>97</c:v>
                </c:pt>
              </c:numCache>
            </c:numRef>
          </c:xVal>
          <c:yVal>
            <c:numRef>
              <c:f>'résistance_section (2)'!$D$44:$D$61</c:f>
              <c:numCache>
                <c:formatCode>General</c:formatCode>
                <c:ptCount val="18"/>
                <c:pt idx="0">
                  <c:v>112</c:v>
                </c:pt>
                <c:pt idx="1">
                  <c:v>112</c:v>
                </c:pt>
                <c:pt idx="2">
                  <c:v>112</c:v>
                </c:pt>
                <c:pt idx="3">
                  <c:v>105</c:v>
                </c:pt>
                <c:pt idx="4">
                  <c:v>112</c:v>
                </c:pt>
                <c:pt idx="5">
                  <c:v>112</c:v>
                </c:pt>
                <c:pt idx="6">
                  <c:v>112</c:v>
                </c:pt>
                <c:pt idx="7">
                  <c:v>112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82</c:v>
                </c:pt>
                <c:pt idx="11" formatCode="0.00">
                  <c:v>75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671936"/>
        <c:axId val="96672512"/>
      </c:scatterChart>
      <c:valAx>
        <c:axId val="9667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6672512"/>
        <c:crosses val="autoZero"/>
        <c:crossBetween val="midCat"/>
      </c:valAx>
      <c:valAx>
        <c:axId val="96672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6719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3" l="0.70000000000000095" r="0.70000000000000095" t="0.750000000000003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none"/>
          </c:marker>
          <c:dPt>
            <c:idx val="0"/>
            <c:bubble3D val="0"/>
            <c:spPr>
              <a:ln>
                <a:noFill/>
              </a:ln>
            </c:spPr>
          </c:dPt>
          <c:dPt>
            <c:idx val="1"/>
            <c:bubble3D val="0"/>
            <c:spPr>
              <a:ln>
                <a:noFill/>
              </a:ln>
            </c:spPr>
          </c:dPt>
          <c:dPt>
            <c:idx val="6"/>
            <c:bubble3D val="0"/>
            <c:spPr>
              <a:ln>
                <a:noFill/>
              </a:ln>
            </c:spPr>
          </c:dPt>
          <c:dPt>
            <c:idx val="14"/>
            <c:bubble3D val="0"/>
            <c:spPr>
              <a:ln>
                <a:noFill/>
              </a:ln>
            </c:spPr>
          </c:dPt>
          <c:xVal>
            <c:numRef>
              <c:f>'résistance_section (3)'!$C$44:$C$61</c:f>
              <c:numCache>
                <c:formatCode>0.00</c:formatCode>
                <c:ptCount val="18"/>
                <c:pt idx="0" formatCode="General">
                  <c:v>0</c:v>
                </c:pt>
                <c:pt idx="1">
                  <c:v>15</c:v>
                </c:pt>
                <c:pt idx="2" formatCode="General">
                  <c:v>15</c:v>
                </c:pt>
                <c:pt idx="3" formatCode="General">
                  <c:v>22</c:v>
                </c:pt>
                <c:pt idx="4" formatCode="General">
                  <c:v>29</c:v>
                </c:pt>
                <c:pt idx="5">
                  <c:v>0</c:v>
                </c:pt>
                <c:pt idx="6">
                  <c:v>0</c:v>
                </c:pt>
                <c:pt idx="7">
                  <c:v>29</c:v>
                </c:pt>
                <c:pt idx="8">
                  <c:v>0</c:v>
                </c:pt>
                <c:pt idx="9">
                  <c:v>0</c:v>
                </c:pt>
                <c:pt idx="10">
                  <c:v>33</c:v>
                </c:pt>
                <c:pt idx="11">
                  <c:v>43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General">
                  <c:v>53</c:v>
                </c:pt>
                <c:pt idx="16" formatCode="General">
                  <c:v>89</c:v>
                </c:pt>
                <c:pt idx="17" formatCode="General">
                  <c:v>97</c:v>
                </c:pt>
              </c:numCache>
            </c:numRef>
          </c:xVal>
          <c:yVal>
            <c:numRef>
              <c:f>'résistance_section (3)'!$D$44:$D$61</c:f>
              <c:numCache>
                <c:formatCode>General</c:formatCode>
                <c:ptCount val="18"/>
                <c:pt idx="0">
                  <c:v>112</c:v>
                </c:pt>
                <c:pt idx="1">
                  <c:v>112</c:v>
                </c:pt>
                <c:pt idx="2">
                  <c:v>112</c:v>
                </c:pt>
                <c:pt idx="3">
                  <c:v>105</c:v>
                </c:pt>
                <c:pt idx="4">
                  <c:v>112</c:v>
                </c:pt>
                <c:pt idx="5">
                  <c:v>112</c:v>
                </c:pt>
                <c:pt idx="6">
                  <c:v>112</c:v>
                </c:pt>
                <c:pt idx="7">
                  <c:v>112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82</c:v>
                </c:pt>
                <c:pt idx="11" formatCode="0.00">
                  <c:v>75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959040"/>
        <c:axId val="129959616"/>
      </c:scatterChart>
      <c:valAx>
        <c:axId val="12995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9959616"/>
        <c:crosses val="autoZero"/>
        <c:crossBetween val="midCat"/>
      </c:valAx>
      <c:valAx>
        <c:axId val="129959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99590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3" l="0.70000000000000095" r="0.70000000000000095" t="0.750000000000003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33</xdr:row>
      <xdr:rowOff>30373</xdr:rowOff>
    </xdr:from>
    <xdr:to>
      <xdr:col>11</xdr:col>
      <xdr:colOff>431800</xdr:colOff>
      <xdr:row>44</xdr:row>
      <xdr:rowOff>94756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94200" y="6062873"/>
          <a:ext cx="5118100" cy="2299583"/>
        </a:xfrm>
        <a:prstGeom prst="rect">
          <a:avLst/>
        </a:prstGeom>
      </xdr:spPr>
    </xdr:pic>
    <xdr:clientData/>
  </xdr:twoCellAnchor>
  <xdr:twoCellAnchor>
    <xdr:from>
      <xdr:col>7</xdr:col>
      <xdr:colOff>482600</xdr:colOff>
      <xdr:row>47</xdr:row>
      <xdr:rowOff>38100</xdr:rowOff>
    </xdr:from>
    <xdr:to>
      <xdr:col>14</xdr:col>
      <xdr:colOff>1003300</xdr:colOff>
      <xdr:row>61</xdr:row>
      <xdr:rowOff>139700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727697</xdr:colOff>
      <xdr:row>4</xdr:row>
      <xdr:rowOff>76200</xdr:rowOff>
    </xdr:from>
    <xdr:to>
      <xdr:col>2</xdr:col>
      <xdr:colOff>698501</xdr:colOff>
      <xdr:row>7</xdr:row>
      <xdr:rowOff>127000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7697" y="520700"/>
          <a:ext cx="1621804" cy="6985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12</xdr:col>
      <xdr:colOff>0</xdr:colOff>
      <xdr:row>15</xdr:row>
      <xdr:rowOff>0</xdr:rowOff>
    </xdr:from>
    <xdr:to>
      <xdr:col>17</xdr:col>
      <xdr:colOff>757358</xdr:colOff>
      <xdr:row>29</xdr:row>
      <xdr:rowOff>81172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906000" y="2552700"/>
          <a:ext cx="5862758" cy="2773572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6</xdr:col>
      <xdr:colOff>762001</xdr:colOff>
      <xdr:row>14</xdr:row>
      <xdr:rowOff>128332</xdr:rowOff>
    </xdr:from>
    <xdr:to>
      <xdr:col>11</xdr:col>
      <xdr:colOff>215901</xdr:colOff>
      <xdr:row>32</xdr:row>
      <xdr:rowOff>88899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715001" y="2896932"/>
          <a:ext cx="3581400" cy="3414967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50</xdr:row>
      <xdr:rowOff>114300</xdr:rowOff>
    </xdr:from>
    <xdr:to>
      <xdr:col>12</xdr:col>
      <xdr:colOff>123825</xdr:colOff>
      <xdr:row>65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752475</xdr:colOff>
      <xdr:row>56</xdr:row>
      <xdr:rowOff>123825</xdr:rowOff>
    </xdr:from>
    <xdr:to>
      <xdr:col>11</xdr:col>
      <xdr:colOff>390525</xdr:colOff>
      <xdr:row>57</xdr:row>
      <xdr:rowOff>161925</xdr:rowOff>
    </xdr:to>
    <xdr:sp macro="" textlink="">
      <xdr:nvSpPr>
        <xdr:cNvPr id="4" name="ZoneTexte 3"/>
        <xdr:cNvSpPr txBox="1"/>
      </xdr:nvSpPr>
      <xdr:spPr>
        <a:xfrm>
          <a:off x="8458200" y="5143500"/>
          <a:ext cx="4000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0.19166</cdr:x>
      <cdr:y>0.03125</cdr:y>
    </cdr:from>
    <cdr:to>
      <cdr:x>0.23541</cdr:x>
      <cdr:y>0.10416</cdr:y>
    </cdr:to>
    <cdr:sp macro="" textlink="">
      <cdr:nvSpPr>
        <cdr:cNvPr id="2" name="ZoneTexte 2"/>
        <cdr:cNvSpPr txBox="1"/>
      </cdr:nvSpPr>
      <cdr:spPr>
        <a:xfrm xmlns:a="http://schemas.openxmlformats.org/drawingml/2006/main">
          <a:off x="876254" y="85722"/>
          <a:ext cx="200025" cy="2000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fr-FR" sz="1100" b="1"/>
            <a:t>2</a:t>
          </a:r>
        </a:p>
      </cdr:txBody>
    </cdr:sp>
  </cdr:relSizeAnchor>
  <cdr:relSizeAnchor xmlns:cdr="http://schemas.openxmlformats.org/drawingml/2006/chartDrawing">
    <cdr:from>
      <cdr:x>0.28125</cdr:x>
      <cdr:y>0.11458</cdr:y>
    </cdr:from>
    <cdr:to>
      <cdr:x>0.325</cdr:x>
      <cdr:y>0.18749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285860" y="314328"/>
          <a:ext cx="200025" cy="2000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 b="1"/>
            <a:t>3</a:t>
          </a:r>
        </a:p>
      </cdr:txBody>
    </cdr:sp>
  </cdr:relSizeAnchor>
  <cdr:relSizeAnchor xmlns:cdr="http://schemas.openxmlformats.org/drawingml/2006/chartDrawing">
    <cdr:from>
      <cdr:x>0.40208</cdr:x>
      <cdr:y>0.02777</cdr:y>
    </cdr:from>
    <cdr:to>
      <cdr:x>0.44583</cdr:x>
      <cdr:y>0.10069</cdr:y>
    </cdr:to>
    <cdr:sp macro="" textlink="">
      <cdr:nvSpPr>
        <cdr:cNvPr id="4" name="ZoneTexte 2"/>
        <cdr:cNvSpPr txBox="1"/>
      </cdr:nvSpPr>
      <cdr:spPr>
        <a:xfrm xmlns:a="http://schemas.openxmlformats.org/drawingml/2006/main">
          <a:off x="1838310" y="76179"/>
          <a:ext cx="200025" cy="2000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 b="1"/>
            <a:t>4</a:t>
          </a:r>
        </a:p>
      </cdr:txBody>
    </cdr:sp>
  </cdr:relSizeAnchor>
  <cdr:relSizeAnchor xmlns:cdr="http://schemas.openxmlformats.org/drawingml/2006/chartDrawing">
    <cdr:from>
      <cdr:x>0.66667</cdr:x>
      <cdr:y>0.07986</cdr:y>
    </cdr:from>
    <cdr:to>
      <cdr:x>0.71042</cdr:x>
      <cdr:y>0.15278</cdr:y>
    </cdr:to>
    <cdr:sp macro="" textlink="">
      <cdr:nvSpPr>
        <cdr:cNvPr id="6" name="ZoneTexte 2"/>
        <cdr:cNvSpPr txBox="1"/>
      </cdr:nvSpPr>
      <cdr:spPr>
        <a:xfrm xmlns:a="http://schemas.openxmlformats.org/drawingml/2006/main">
          <a:off x="3048000" y="219075"/>
          <a:ext cx="200025" cy="2000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 b="1"/>
            <a:t>5</a:t>
          </a:r>
        </a:p>
      </cdr:txBody>
    </cdr:sp>
  </cdr:relSizeAnchor>
  <cdr:relSizeAnchor xmlns:cdr="http://schemas.openxmlformats.org/drawingml/2006/chartDrawing">
    <cdr:from>
      <cdr:x>0.72082</cdr:x>
      <cdr:y>0.36806</cdr:y>
    </cdr:from>
    <cdr:to>
      <cdr:x>0.76457</cdr:x>
      <cdr:y>0.44097</cdr:y>
    </cdr:to>
    <cdr:sp macro="" textlink="">
      <cdr:nvSpPr>
        <cdr:cNvPr id="7" name="ZoneTexte 2"/>
        <cdr:cNvSpPr txBox="1"/>
      </cdr:nvSpPr>
      <cdr:spPr>
        <a:xfrm xmlns:a="http://schemas.openxmlformats.org/drawingml/2006/main">
          <a:off x="3295604" y="1009665"/>
          <a:ext cx="200025" cy="2000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 b="1"/>
            <a:t>6</a:t>
          </a:r>
        </a:p>
      </cdr:txBody>
    </cdr:sp>
  </cdr:relSizeAnchor>
  <cdr:relSizeAnchor xmlns:cdr="http://schemas.openxmlformats.org/drawingml/2006/chartDrawing">
    <cdr:from>
      <cdr:x>0.76667</cdr:x>
      <cdr:y>0.45833</cdr:y>
    </cdr:from>
    <cdr:to>
      <cdr:x>0.81042</cdr:x>
      <cdr:y>0.53124</cdr:y>
    </cdr:to>
    <cdr:sp macro="" textlink="">
      <cdr:nvSpPr>
        <cdr:cNvPr id="8" name="ZoneTexte 2"/>
        <cdr:cNvSpPr txBox="1"/>
      </cdr:nvSpPr>
      <cdr:spPr>
        <a:xfrm xmlns:a="http://schemas.openxmlformats.org/drawingml/2006/main">
          <a:off x="3505200" y="1257303"/>
          <a:ext cx="200025" cy="2000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 b="1"/>
            <a:t>7</a:t>
          </a:r>
        </a:p>
      </cdr:txBody>
    </cdr:sp>
  </cdr:relSizeAnchor>
  <cdr:relSizeAnchor xmlns:cdr="http://schemas.openxmlformats.org/drawingml/2006/chartDrawing">
    <cdr:from>
      <cdr:x>0.76042</cdr:x>
      <cdr:y>0.80902</cdr:y>
    </cdr:from>
    <cdr:to>
      <cdr:x>0.80417</cdr:x>
      <cdr:y>0.88194</cdr:y>
    </cdr:to>
    <cdr:sp macro="" textlink="">
      <cdr:nvSpPr>
        <cdr:cNvPr id="9" name="ZoneTexte 2"/>
        <cdr:cNvSpPr txBox="1"/>
      </cdr:nvSpPr>
      <cdr:spPr>
        <a:xfrm xmlns:a="http://schemas.openxmlformats.org/drawingml/2006/main">
          <a:off x="3476640" y="2219316"/>
          <a:ext cx="200025" cy="2000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 b="1"/>
            <a:t>8</a:t>
          </a:r>
        </a:p>
      </cdr:txBody>
    </cdr:sp>
  </cdr:relSizeAnchor>
  <cdr:relSizeAnchor xmlns:cdr="http://schemas.openxmlformats.org/drawingml/2006/chartDrawing">
    <cdr:from>
      <cdr:x>0.85834</cdr:x>
      <cdr:y>0.77778</cdr:y>
    </cdr:from>
    <cdr:to>
      <cdr:x>0.90625</cdr:x>
      <cdr:y>0.86458</cdr:y>
    </cdr:to>
    <cdr:sp macro="" textlink="">
      <cdr:nvSpPr>
        <cdr:cNvPr id="12" name="ZoneTexte 11"/>
        <cdr:cNvSpPr txBox="1"/>
      </cdr:nvSpPr>
      <cdr:spPr>
        <a:xfrm xmlns:a="http://schemas.openxmlformats.org/drawingml/2006/main">
          <a:off x="3924330" y="2133615"/>
          <a:ext cx="219045" cy="2381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 b="1"/>
            <a:t>9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533399</xdr:colOff>
      <xdr:row>44</xdr:row>
      <xdr:rowOff>38101</xdr:rowOff>
    </xdr:from>
    <xdr:to>
      <xdr:col>8</xdr:col>
      <xdr:colOff>581024</xdr:colOff>
      <xdr:row>48</xdr:row>
      <xdr:rowOff>57150</xdr:rowOff>
    </xdr:to>
    <xdr:sp macro="" textlink="">
      <xdr:nvSpPr>
        <xdr:cNvPr id="4" name="ZoneTexte 3"/>
        <xdr:cNvSpPr txBox="1"/>
      </xdr:nvSpPr>
      <xdr:spPr>
        <a:xfrm>
          <a:off x="5114924" y="7172326"/>
          <a:ext cx="1571625" cy="7810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/>
            <a:t>1</a:t>
          </a:r>
          <a:r>
            <a:rPr lang="fr-FR" sz="1100" b="1" baseline="0"/>
            <a:t>                      4          5</a:t>
          </a:r>
          <a:endParaRPr lang="fr-FR" sz="1100" b="1"/>
        </a:p>
      </xdr:txBody>
    </xdr:sp>
    <xdr:clientData/>
  </xdr:twoCellAnchor>
  <xdr:twoCellAnchor>
    <xdr:from>
      <xdr:col>6</xdr:col>
      <xdr:colOff>628650</xdr:colOff>
      <xdr:row>42</xdr:row>
      <xdr:rowOff>9525</xdr:rowOff>
    </xdr:from>
    <xdr:to>
      <xdr:col>7</xdr:col>
      <xdr:colOff>457200</xdr:colOff>
      <xdr:row>43</xdr:row>
      <xdr:rowOff>133350</xdr:rowOff>
    </xdr:to>
    <xdr:sp macro="" textlink="">
      <xdr:nvSpPr>
        <xdr:cNvPr id="5" name="ZoneTexte 4"/>
        <xdr:cNvSpPr txBox="1"/>
      </xdr:nvSpPr>
      <xdr:spPr>
        <a:xfrm>
          <a:off x="5200650" y="5429250"/>
          <a:ext cx="5905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/>
            <a:t>2        3</a:t>
          </a:r>
        </a:p>
      </xdr:txBody>
    </xdr:sp>
    <xdr:clientData/>
  </xdr:twoCellAnchor>
  <xdr:twoCellAnchor>
    <xdr:from>
      <xdr:col>8</xdr:col>
      <xdr:colOff>714375</xdr:colOff>
      <xdr:row>43</xdr:row>
      <xdr:rowOff>171451</xdr:rowOff>
    </xdr:from>
    <xdr:to>
      <xdr:col>11</xdr:col>
      <xdr:colOff>619125</xdr:colOff>
      <xdr:row>58</xdr:row>
      <xdr:rowOff>123825</xdr:rowOff>
    </xdr:to>
    <xdr:sp macro="" textlink="">
      <xdr:nvSpPr>
        <xdr:cNvPr id="6" name="ZoneTexte 5"/>
        <xdr:cNvSpPr txBox="1"/>
      </xdr:nvSpPr>
      <xdr:spPr>
        <a:xfrm>
          <a:off x="6819900" y="7115176"/>
          <a:ext cx="2190750" cy="2809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/>
            <a:t>6</a:t>
          </a:r>
        </a:p>
        <a:p>
          <a:r>
            <a:rPr lang="fr-FR" sz="1100" b="1" baseline="0"/>
            <a:t>   </a:t>
          </a:r>
        </a:p>
        <a:p>
          <a:r>
            <a:rPr lang="fr-FR" sz="1100" b="1"/>
            <a:t>   7</a:t>
          </a:r>
        </a:p>
        <a:p>
          <a:r>
            <a:rPr lang="fr-FR" sz="1100" b="1"/>
            <a:t>         8</a:t>
          </a:r>
        </a:p>
        <a:p>
          <a:r>
            <a:rPr lang="fr-FR" sz="1100" b="1"/>
            <a:t>             9</a:t>
          </a:r>
        </a:p>
        <a:p>
          <a:endParaRPr lang="fr-FR" sz="1100" b="1"/>
        </a:p>
        <a:p>
          <a:endParaRPr lang="fr-FR" sz="1100" b="1"/>
        </a:p>
        <a:p>
          <a:r>
            <a:rPr lang="fr-FR" sz="1100" b="1"/>
            <a:t>                 10</a:t>
          </a:r>
        </a:p>
        <a:p>
          <a:endParaRPr lang="fr-FR" sz="1100" b="1"/>
        </a:p>
        <a:p>
          <a:endParaRPr lang="fr-FR" sz="1100" b="1"/>
        </a:p>
        <a:p>
          <a:endParaRPr lang="fr-FR" sz="1100" b="1"/>
        </a:p>
        <a:p>
          <a:r>
            <a:rPr lang="fr-FR" sz="1100" b="1"/>
            <a:t>	11                  12</a:t>
          </a:r>
        </a:p>
      </xdr:txBody>
    </xdr:sp>
    <xdr:clientData/>
  </xdr:twoCellAnchor>
  <xdr:twoCellAnchor>
    <xdr:from>
      <xdr:col>5</xdr:col>
      <xdr:colOff>638175</xdr:colOff>
      <xdr:row>57</xdr:row>
      <xdr:rowOff>47625</xdr:rowOff>
    </xdr:from>
    <xdr:to>
      <xdr:col>11</xdr:col>
      <xdr:colOff>638175</xdr:colOff>
      <xdr:row>71</xdr:row>
      <xdr:rowOff>123825</xdr:rowOff>
    </xdr:to>
    <xdr:grpSp>
      <xdr:nvGrpSpPr>
        <xdr:cNvPr id="10" name="Groupe 9"/>
        <xdr:cNvGrpSpPr/>
      </xdr:nvGrpSpPr>
      <xdr:grpSpPr>
        <a:xfrm>
          <a:off x="4816475" y="10296525"/>
          <a:ext cx="4953000" cy="2565400"/>
          <a:chOff x="4448175" y="8324850"/>
          <a:chExt cx="4572000" cy="2743200"/>
        </a:xfrm>
      </xdr:grpSpPr>
      <xdr:graphicFrame macro="">
        <xdr:nvGraphicFramePr>
          <xdr:cNvPr id="7" name="Graphique 6"/>
          <xdr:cNvGraphicFramePr/>
        </xdr:nvGraphicFramePr>
        <xdr:xfrm>
          <a:off x="4448175" y="8324850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8" name="ZoneTexte 7"/>
          <xdr:cNvSpPr txBox="1"/>
        </xdr:nvSpPr>
        <xdr:spPr>
          <a:xfrm>
            <a:off x="5048250" y="8401050"/>
            <a:ext cx="1571625" cy="4953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fr-FR" sz="1100" b="1"/>
              <a:t>1</a:t>
            </a:r>
            <a:r>
              <a:rPr lang="fr-FR" sz="1100" b="1" baseline="0"/>
              <a:t>                      4          5</a:t>
            </a:r>
          </a:p>
          <a:p>
            <a:r>
              <a:rPr lang="fr-FR" sz="1100" b="1"/>
              <a:t>      2        3</a:t>
            </a:r>
          </a:p>
        </xdr:txBody>
      </xdr:sp>
    </xdr:grp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0.425</cdr:x>
      <cdr:y>0.07292</cdr:y>
    </cdr:from>
    <cdr:to>
      <cdr:x>0.90417</cdr:x>
      <cdr:y>0.88889</cdr:y>
    </cdr:to>
    <cdr:sp macro="" textlink="">
      <cdr:nvSpPr>
        <cdr:cNvPr id="2" name="ZoneTexte 5"/>
        <cdr:cNvSpPr txBox="1"/>
      </cdr:nvSpPr>
      <cdr:spPr>
        <a:xfrm xmlns:a="http://schemas.openxmlformats.org/drawingml/2006/main">
          <a:off x="1943100" y="200025"/>
          <a:ext cx="2190750" cy="22383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fr-FR" sz="1100" b="1"/>
            <a:t>6</a:t>
          </a:r>
        </a:p>
        <a:p xmlns:a="http://schemas.openxmlformats.org/drawingml/2006/main">
          <a:r>
            <a:rPr lang="fr-FR" sz="1100" b="1" baseline="0"/>
            <a:t>   </a:t>
          </a:r>
        </a:p>
        <a:p xmlns:a="http://schemas.openxmlformats.org/drawingml/2006/main">
          <a:r>
            <a:rPr lang="fr-FR" sz="1100" b="1"/>
            <a:t>   7</a:t>
          </a:r>
        </a:p>
        <a:p xmlns:a="http://schemas.openxmlformats.org/drawingml/2006/main">
          <a:r>
            <a:rPr lang="fr-FR" sz="1100" b="1"/>
            <a:t>         8</a:t>
          </a:r>
        </a:p>
        <a:p xmlns:a="http://schemas.openxmlformats.org/drawingml/2006/main">
          <a:r>
            <a:rPr lang="fr-FR" sz="1100" b="1"/>
            <a:t>             9</a:t>
          </a:r>
        </a:p>
        <a:p xmlns:a="http://schemas.openxmlformats.org/drawingml/2006/main">
          <a:endParaRPr lang="fr-FR" sz="1100" b="1"/>
        </a:p>
        <a:p xmlns:a="http://schemas.openxmlformats.org/drawingml/2006/main">
          <a:endParaRPr lang="fr-FR" sz="1100" b="1"/>
        </a:p>
        <a:p xmlns:a="http://schemas.openxmlformats.org/drawingml/2006/main">
          <a:r>
            <a:rPr lang="fr-FR" sz="1100" b="1"/>
            <a:t>                 10</a:t>
          </a:r>
        </a:p>
        <a:p xmlns:a="http://schemas.openxmlformats.org/drawingml/2006/main">
          <a:endParaRPr lang="fr-FR" sz="1100" b="1"/>
        </a:p>
        <a:p xmlns:a="http://schemas.openxmlformats.org/drawingml/2006/main">
          <a:endParaRPr lang="fr-FR" sz="1100" b="1"/>
        </a:p>
        <a:p xmlns:a="http://schemas.openxmlformats.org/drawingml/2006/main">
          <a:endParaRPr lang="fr-FR" sz="1100" b="1"/>
        </a:p>
        <a:p xmlns:a="http://schemas.openxmlformats.org/drawingml/2006/main">
          <a:r>
            <a:rPr lang="fr-FR" sz="1100" b="1"/>
            <a:t>	11                  12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533399</xdr:colOff>
      <xdr:row>44</xdr:row>
      <xdr:rowOff>38101</xdr:rowOff>
    </xdr:from>
    <xdr:to>
      <xdr:col>8</xdr:col>
      <xdr:colOff>581024</xdr:colOff>
      <xdr:row>48</xdr:row>
      <xdr:rowOff>57150</xdr:rowOff>
    </xdr:to>
    <xdr:sp macro="" textlink="">
      <xdr:nvSpPr>
        <xdr:cNvPr id="2" name="ZoneTexte 1"/>
        <xdr:cNvSpPr txBox="1"/>
      </xdr:nvSpPr>
      <xdr:spPr>
        <a:xfrm>
          <a:off x="5114924" y="7743826"/>
          <a:ext cx="1571625" cy="7810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/>
            <a:t>1</a:t>
          </a:r>
          <a:r>
            <a:rPr lang="fr-FR" sz="1100" b="1" baseline="0"/>
            <a:t>                      4          5</a:t>
          </a:r>
          <a:endParaRPr lang="fr-FR" sz="1100" b="1"/>
        </a:p>
      </xdr:txBody>
    </xdr:sp>
    <xdr:clientData/>
  </xdr:twoCellAnchor>
  <xdr:twoCellAnchor>
    <xdr:from>
      <xdr:col>6</xdr:col>
      <xdr:colOff>628650</xdr:colOff>
      <xdr:row>42</xdr:row>
      <xdr:rowOff>9525</xdr:rowOff>
    </xdr:from>
    <xdr:to>
      <xdr:col>7</xdr:col>
      <xdr:colOff>457200</xdr:colOff>
      <xdr:row>43</xdr:row>
      <xdr:rowOff>133350</xdr:rowOff>
    </xdr:to>
    <xdr:sp macro="" textlink="">
      <xdr:nvSpPr>
        <xdr:cNvPr id="3" name="ZoneTexte 2"/>
        <xdr:cNvSpPr txBox="1"/>
      </xdr:nvSpPr>
      <xdr:spPr>
        <a:xfrm>
          <a:off x="5210175" y="7334250"/>
          <a:ext cx="5905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/>
            <a:t>2        3</a:t>
          </a:r>
        </a:p>
      </xdr:txBody>
    </xdr:sp>
    <xdr:clientData/>
  </xdr:twoCellAnchor>
  <xdr:twoCellAnchor>
    <xdr:from>
      <xdr:col>8</xdr:col>
      <xdr:colOff>714375</xdr:colOff>
      <xdr:row>43</xdr:row>
      <xdr:rowOff>171451</xdr:rowOff>
    </xdr:from>
    <xdr:to>
      <xdr:col>11</xdr:col>
      <xdr:colOff>619125</xdr:colOff>
      <xdr:row>58</xdr:row>
      <xdr:rowOff>123825</xdr:rowOff>
    </xdr:to>
    <xdr:sp macro="" textlink="">
      <xdr:nvSpPr>
        <xdr:cNvPr id="4" name="ZoneTexte 3"/>
        <xdr:cNvSpPr txBox="1"/>
      </xdr:nvSpPr>
      <xdr:spPr>
        <a:xfrm>
          <a:off x="6819900" y="7686676"/>
          <a:ext cx="2190750" cy="2809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/>
            <a:t>6</a:t>
          </a:r>
        </a:p>
        <a:p>
          <a:r>
            <a:rPr lang="fr-FR" sz="1100" b="1" baseline="0"/>
            <a:t>   </a:t>
          </a:r>
        </a:p>
        <a:p>
          <a:r>
            <a:rPr lang="fr-FR" sz="1100" b="1"/>
            <a:t>   7</a:t>
          </a:r>
        </a:p>
        <a:p>
          <a:r>
            <a:rPr lang="fr-FR" sz="1100" b="1"/>
            <a:t>         8</a:t>
          </a:r>
        </a:p>
        <a:p>
          <a:r>
            <a:rPr lang="fr-FR" sz="1100" b="1"/>
            <a:t>             9</a:t>
          </a:r>
        </a:p>
        <a:p>
          <a:endParaRPr lang="fr-FR" sz="1100" b="1"/>
        </a:p>
        <a:p>
          <a:endParaRPr lang="fr-FR" sz="1100" b="1"/>
        </a:p>
        <a:p>
          <a:r>
            <a:rPr lang="fr-FR" sz="1100" b="1"/>
            <a:t>                 10</a:t>
          </a:r>
        </a:p>
        <a:p>
          <a:endParaRPr lang="fr-FR" sz="1100" b="1"/>
        </a:p>
        <a:p>
          <a:endParaRPr lang="fr-FR" sz="1100" b="1"/>
        </a:p>
        <a:p>
          <a:endParaRPr lang="fr-FR" sz="1100" b="1"/>
        </a:p>
        <a:p>
          <a:r>
            <a:rPr lang="fr-FR" sz="1100" b="1"/>
            <a:t>	11                  12</a:t>
          </a:r>
        </a:p>
      </xdr:txBody>
    </xdr:sp>
    <xdr:clientData/>
  </xdr:twoCellAnchor>
  <xdr:twoCellAnchor>
    <xdr:from>
      <xdr:col>5</xdr:col>
      <xdr:colOff>638175</xdr:colOff>
      <xdr:row>57</xdr:row>
      <xdr:rowOff>47625</xdr:rowOff>
    </xdr:from>
    <xdr:to>
      <xdr:col>11</xdr:col>
      <xdr:colOff>638175</xdr:colOff>
      <xdr:row>71</xdr:row>
      <xdr:rowOff>123825</xdr:rowOff>
    </xdr:to>
    <xdr:grpSp>
      <xdr:nvGrpSpPr>
        <xdr:cNvPr id="5" name="Groupe 4"/>
        <xdr:cNvGrpSpPr/>
      </xdr:nvGrpSpPr>
      <xdr:grpSpPr>
        <a:xfrm>
          <a:off x="4816475" y="10296525"/>
          <a:ext cx="4953000" cy="2565400"/>
          <a:chOff x="4448175" y="8324850"/>
          <a:chExt cx="4572000" cy="2743200"/>
        </a:xfrm>
      </xdr:grpSpPr>
      <xdr:graphicFrame macro="">
        <xdr:nvGraphicFramePr>
          <xdr:cNvPr id="6" name="Graphique 5"/>
          <xdr:cNvGraphicFramePr/>
        </xdr:nvGraphicFramePr>
        <xdr:xfrm>
          <a:off x="4448175" y="8324850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7" name="ZoneTexte 6"/>
          <xdr:cNvSpPr txBox="1"/>
        </xdr:nvSpPr>
        <xdr:spPr>
          <a:xfrm>
            <a:off x="5048250" y="8401050"/>
            <a:ext cx="1571625" cy="4953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fr-FR" sz="1100" b="1"/>
              <a:t>1</a:t>
            </a:r>
            <a:r>
              <a:rPr lang="fr-FR" sz="1100" b="1" baseline="0"/>
              <a:t>                      4          5</a:t>
            </a:r>
          </a:p>
          <a:p>
            <a:r>
              <a:rPr lang="fr-FR" sz="1100" b="1"/>
              <a:t>      2        3</a:t>
            </a:r>
          </a:p>
        </xdr:txBody>
      </xdr:sp>
    </xdr:grp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0.425</cdr:x>
      <cdr:y>0.07292</cdr:y>
    </cdr:from>
    <cdr:to>
      <cdr:x>0.90417</cdr:x>
      <cdr:y>0.88889</cdr:y>
    </cdr:to>
    <cdr:sp macro="" textlink="">
      <cdr:nvSpPr>
        <cdr:cNvPr id="2" name="ZoneTexte 5"/>
        <cdr:cNvSpPr txBox="1"/>
      </cdr:nvSpPr>
      <cdr:spPr>
        <a:xfrm xmlns:a="http://schemas.openxmlformats.org/drawingml/2006/main">
          <a:off x="1943100" y="200025"/>
          <a:ext cx="2190750" cy="22383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fr-FR" sz="1100" b="1"/>
            <a:t>6</a:t>
          </a:r>
        </a:p>
        <a:p xmlns:a="http://schemas.openxmlformats.org/drawingml/2006/main">
          <a:r>
            <a:rPr lang="fr-FR" sz="1100" b="1" baseline="0"/>
            <a:t>   </a:t>
          </a:r>
        </a:p>
        <a:p xmlns:a="http://schemas.openxmlformats.org/drawingml/2006/main">
          <a:r>
            <a:rPr lang="fr-FR" sz="1100" b="1"/>
            <a:t>   7</a:t>
          </a:r>
        </a:p>
        <a:p xmlns:a="http://schemas.openxmlformats.org/drawingml/2006/main">
          <a:r>
            <a:rPr lang="fr-FR" sz="1100" b="1"/>
            <a:t>         8</a:t>
          </a:r>
        </a:p>
        <a:p xmlns:a="http://schemas.openxmlformats.org/drawingml/2006/main">
          <a:r>
            <a:rPr lang="fr-FR" sz="1100" b="1"/>
            <a:t>             9</a:t>
          </a:r>
        </a:p>
        <a:p xmlns:a="http://schemas.openxmlformats.org/drawingml/2006/main">
          <a:endParaRPr lang="fr-FR" sz="1100" b="1"/>
        </a:p>
        <a:p xmlns:a="http://schemas.openxmlformats.org/drawingml/2006/main">
          <a:endParaRPr lang="fr-FR" sz="1100" b="1"/>
        </a:p>
        <a:p xmlns:a="http://schemas.openxmlformats.org/drawingml/2006/main">
          <a:r>
            <a:rPr lang="fr-FR" sz="1100" b="1"/>
            <a:t>                 10</a:t>
          </a:r>
        </a:p>
        <a:p xmlns:a="http://schemas.openxmlformats.org/drawingml/2006/main">
          <a:endParaRPr lang="fr-FR" sz="1100" b="1"/>
        </a:p>
        <a:p xmlns:a="http://schemas.openxmlformats.org/drawingml/2006/main">
          <a:endParaRPr lang="fr-FR" sz="1100" b="1"/>
        </a:p>
        <a:p xmlns:a="http://schemas.openxmlformats.org/drawingml/2006/main">
          <a:endParaRPr lang="fr-FR" sz="1100" b="1"/>
        </a:p>
        <a:p xmlns:a="http://schemas.openxmlformats.org/drawingml/2006/main">
          <a:r>
            <a:rPr lang="fr-FR" sz="1100" b="1"/>
            <a:t>	11                  12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533399</xdr:colOff>
      <xdr:row>44</xdr:row>
      <xdr:rowOff>38101</xdr:rowOff>
    </xdr:from>
    <xdr:to>
      <xdr:col>8</xdr:col>
      <xdr:colOff>581024</xdr:colOff>
      <xdr:row>48</xdr:row>
      <xdr:rowOff>57150</xdr:rowOff>
    </xdr:to>
    <xdr:sp macro="" textlink="">
      <xdr:nvSpPr>
        <xdr:cNvPr id="2" name="ZoneTexte 1"/>
        <xdr:cNvSpPr txBox="1"/>
      </xdr:nvSpPr>
      <xdr:spPr>
        <a:xfrm>
          <a:off x="5114924" y="7743826"/>
          <a:ext cx="1571625" cy="7810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/>
            <a:t>1</a:t>
          </a:r>
          <a:r>
            <a:rPr lang="fr-FR" sz="1100" b="1" baseline="0"/>
            <a:t>                      4          5</a:t>
          </a:r>
          <a:endParaRPr lang="fr-FR" sz="1100" b="1"/>
        </a:p>
      </xdr:txBody>
    </xdr:sp>
    <xdr:clientData/>
  </xdr:twoCellAnchor>
  <xdr:twoCellAnchor>
    <xdr:from>
      <xdr:col>6</xdr:col>
      <xdr:colOff>628650</xdr:colOff>
      <xdr:row>42</xdr:row>
      <xdr:rowOff>9525</xdr:rowOff>
    </xdr:from>
    <xdr:to>
      <xdr:col>7</xdr:col>
      <xdr:colOff>457200</xdr:colOff>
      <xdr:row>43</xdr:row>
      <xdr:rowOff>133350</xdr:rowOff>
    </xdr:to>
    <xdr:sp macro="" textlink="">
      <xdr:nvSpPr>
        <xdr:cNvPr id="3" name="ZoneTexte 2"/>
        <xdr:cNvSpPr txBox="1"/>
      </xdr:nvSpPr>
      <xdr:spPr>
        <a:xfrm>
          <a:off x="5210175" y="7334250"/>
          <a:ext cx="5905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/>
            <a:t>2        3</a:t>
          </a:r>
        </a:p>
      </xdr:txBody>
    </xdr:sp>
    <xdr:clientData/>
  </xdr:twoCellAnchor>
  <xdr:twoCellAnchor>
    <xdr:from>
      <xdr:col>8</xdr:col>
      <xdr:colOff>714375</xdr:colOff>
      <xdr:row>43</xdr:row>
      <xdr:rowOff>171451</xdr:rowOff>
    </xdr:from>
    <xdr:to>
      <xdr:col>11</xdr:col>
      <xdr:colOff>619125</xdr:colOff>
      <xdr:row>58</xdr:row>
      <xdr:rowOff>123825</xdr:rowOff>
    </xdr:to>
    <xdr:sp macro="" textlink="">
      <xdr:nvSpPr>
        <xdr:cNvPr id="4" name="ZoneTexte 3"/>
        <xdr:cNvSpPr txBox="1"/>
      </xdr:nvSpPr>
      <xdr:spPr>
        <a:xfrm>
          <a:off x="6819900" y="7686676"/>
          <a:ext cx="2190750" cy="2809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/>
            <a:t>6</a:t>
          </a:r>
        </a:p>
        <a:p>
          <a:r>
            <a:rPr lang="fr-FR" sz="1100" b="1" baseline="0"/>
            <a:t>   </a:t>
          </a:r>
        </a:p>
        <a:p>
          <a:r>
            <a:rPr lang="fr-FR" sz="1100" b="1"/>
            <a:t>   7</a:t>
          </a:r>
        </a:p>
        <a:p>
          <a:r>
            <a:rPr lang="fr-FR" sz="1100" b="1"/>
            <a:t>         8</a:t>
          </a:r>
        </a:p>
        <a:p>
          <a:r>
            <a:rPr lang="fr-FR" sz="1100" b="1"/>
            <a:t>             9</a:t>
          </a:r>
        </a:p>
        <a:p>
          <a:endParaRPr lang="fr-FR" sz="1100" b="1"/>
        </a:p>
        <a:p>
          <a:endParaRPr lang="fr-FR" sz="1100" b="1"/>
        </a:p>
        <a:p>
          <a:r>
            <a:rPr lang="fr-FR" sz="1100" b="1"/>
            <a:t>                 10</a:t>
          </a:r>
        </a:p>
        <a:p>
          <a:endParaRPr lang="fr-FR" sz="1100" b="1"/>
        </a:p>
        <a:p>
          <a:endParaRPr lang="fr-FR" sz="1100" b="1"/>
        </a:p>
        <a:p>
          <a:endParaRPr lang="fr-FR" sz="1100" b="1"/>
        </a:p>
        <a:p>
          <a:r>
            <a:rPr lang="fr-FR" sz="1100" b="1"/>
            <a:t>	11                  12</a:t>
          </a:r>
        </a:p>
      </xdr:txBody>
    </xdr:sp>
    <xdr:clientData/>
  </xdr:twoCellAnchor>
  <xdr:twoCellAnchor>
    <xdr:from>
      <xdr:col>5</xdr:col>
      <xdr:colOff>638175</xdr:colOff>
      <xdr:row>57</xdr:row>
      <xdr:rowOff>47625</xdr:rowOff>
    </xdr:from>
    <xdr:to>
      <xdr:col>11</xdr:col>
      <xdr:colOff>638175</xdr:colOff>
      <xdr:row>71</xdr:row>
      <xdr:rowOff>123825</xdr:rowOff>
    </xdr:to>
    <xdr:grpSp>
      <xdr:nvGrpSpPr>
        <xdr:cNvPr id="5" name="Groupe 4"/>
        <xdr:cNvGrpSpPr/>
      </xdr:nvGrpSpPr>
      <xdr:grpSpPr>
        <a:xfrm>
          <a:off x="4816475" y="10296525"/>
          <a:ext cx="4953000" cy="2565400"/>
          <a:chOff x="4448175" y="8324850"/>
          <a:chExt cx="4572000" cy="2743200"/>
        </a:xfrm>
      </xdr:grpSpPr>
      <xdr:graphicFrame macro="">
        <xdr:nvGraphicFramePr>
          <xdr:cNvPr id="6" name="Graphique 5"/>
          <xdr:cNvGraphicFramePr/>
        </xdr:nvGraphicFramePr>
        <xdr:xfrm>
          <a:off x="4448175" y="8324850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7" name="ZoneTexte 6"/>
          <xdr:cNvSpPr txBox="1"/>
        </xdr:nvSpPr>
        <xdr:spPr>
          <a:xfrm>
            <a:off x="5048250" y="8401050"/>
            <a:ext cx="1571625" cy="4953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fr-FR" sz="1100" b="1"/>
              <a:t>1</a:t>
            </a:r>
            <a:r>
              <a:rPr lang="fr-FR" sz="1100" b="1" baseline="0"/>
              <a:t>                      4          5</a:t>
            </a:r>
          </a:p>
          <a:p>
            <a:r>
              <a:rPr lang="fr-FR" sz="1100" b="1"/>
              <a:t>      2        3</a:t>
            </a:r>
          </a:p>
        </xdr:txBody>
      </xdr:sp>
    </xdr:grp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0.425</cdr:x>
      <cdr:y>0.07292</cdr:y>
    </cdr:from>
    <cdr:to>
      <cdr:x>0.90417</cdr:x>
      <cdr:y>0.88889</cdr:y>
    </cdr:to>
    <cdr:sp macro="" textlink="">
      <cdr:nvSpPr>
        <cdr:cNvPr id="2" name="ZoneTexte 5"/>
        <cdr:cNvSpPr txBox="1"/>
      </cdr:nvSpPr>
      <cdr:spPr>
        <a:xfrm xmlns:a="http://schemas.openxmlformats.org/drawingml/2006/main">
          <a:off x="1943100" y="200025"/>
          <a:ext cx="2190750" cy="22383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fr-FR" sz="1100" b="1"/>
            <a:t>6</a:t>
          </a:r>
        </a:p>
        <a:p xmlns:a="http://schemas.openxmlformats.org/drawingml/2006/main">
          <a:r>
            <a:rPr lang="fr-FR" sz="1100" b="1" baseline="0"/>
            <a:t>   </a:t>
          </a:r>
        </a:p>
        <a:p xmlns:a="http://schemas.openxmlformats.org/drawingml/2006/main">
          <a:r>
            <a:rPr lang="fr-FR" sz="1100" b="1"/>
            <a:t>   7</a:t>
          </a:r>
        </a:p>
        <a:p xmlns:a="http://schemas.openxmlformats.org/drawingml/2006/main">
          <a:r>
            <a:rPr lang="fr-FR" sz="1100" b="1"/>
            <a:t>         8</a:t>
          </a:r>
        </a:p>
        <a:p xmlns:a="http://schemas.openxmlformats.org/drawingml/2006/main">
          <a:r>
            <a:rPr lang="fr-FR" sz="1100" b="1"/>
            <a:t>             9</a:t>
          </a:r>
        </a:p>
        <a:p xmlns:a="http://schemas.openxmlformats.org/drawingml/2006/main">
          <a:endParaRPr lang="fr-FR" sz="1100" b="1"/>
        </a:p>
        <a:p xmlns:a="http://schemas.openxmlformats.org/drawingml/2006/main">
          <a:endParaRPr lang="fr-FR" sz="1100" b="1"/>
        </a:p>
        <a:p xmlns:a="http://schemas.openxmlformats.org/drawingml/2006/main">
          <a:r>
            <a:rPr lang="fr-FR" sz="1100" b="1"/>
            <a:t>                 10</a:t>
          </a:r>
        </a:p>
        <a:p xmlns:a="http://schemas.openxmlformats.org/drawingml/2006/main">
          <a:endParaRPr lang="fr-FR" sz="1100" b="1"/>
        </a:p>
        <a:p xmlns:a="http://schemas.openxmlformats.org/drawingml/2006/main">
          <a:endParaRPr lang="fr-FR" sz="1100" b="1"/>
        </a:p>
        <a:p xmlns:a="http://schemas.openxmlformats.org/drawingml/2006/main">
          <a:endParaRPr lang="fr-FR" sz="1100" b="1"/>
        </a:p>
        <a:p xmlns:a="http://schemas.openxmlformats.org/drawingml/2006/main">
          <a:r>
            <a:rPr lang="fr-FR" sz="1100" b="1"/>
            <a:t>	11                  12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abSelected="1" workbookViewId="0">
      <selection activeCell="D17" sqref="D17"/>
    </sheetView>
  </sheetViews>
  <sheetFormatPr baseColWidth="10" defaultRowHeight="15" x14ac:dyDescent="0.25"/>
  <cols>
    <col min="12" max="12" width="13.85546875" customWidth="1"/>
    <col min="13" max="15" width="13.42578125" customWidth="1"/>
    <col min="16" max="16" width="12.85546875" customWidth="1"/>
    <col min="17" max="17" width="13.7109375" customWidth="1"/>
    <col min="18" max="18" width="13.140625" customWidth="1"/>
  </cols>
  <sheetData>
    <row r="1" spans="1:18" s="148" customFormat="1" ht="21" x14ac:dyDescent="0.35">
      <c r="A1" s="147" t="s">
        <v>152</v>
      </c>
    </row>
    <row r="2" spans="1:18" ht="15.75" x14ac:dyDescent="0.25">
      <c r="B2" s="149" t="s">
        <v>183</v>
      </c>
      <c r="J2" s="150"/>
      <c r="K2" s="151"/>
      <c r="P2" s="150"/>
      <c r="Q2" s="150"/>
    </row>
    <row r="3" spans="1:18" ht="15.75" x14ac:dyDescent="0.25">
      <c r="B3" s="149"/>
      <c r="J3" s="150"/>
      <c r="K3" s="151"/>
      <c r="P3" s="150"/>
      <c r="Q3" s="150"/>
    </row>
    <row r="4" spans="1:18" ht="18.75" x14ac:dyDescent="0.35">
      <c r="B4" s="198" t="s">
        <v>197</v>
      </c>
      <c r="C4" s="199"/>
      <c r="D4" s="200"/>
      <c r="E4" s="205"/>
      <c r="F4" s="184"/>
      <c r="G4" s="198" t="s">
        <v>193</v>
      </c>
      <c r="H4" s="199"/>
      <c r="I4" s="200"/>
      <c r="J4" s="205"/>
      <c r="K4" s="151"/>
      <c r="P4" s="150"/>
      <c r="Q4" s="150"/>
    </row>
    <row r="5" spans="1:18" ht="15.75" x14ac:dyDescent="0.25">
      <c r="B5" s="152">
        <v>-0.51961666841230392</v>
      </c>
      <c r="C5" s="152">
        <v>1</v>
      </c>
      <c r="F5" s="152">
        <v>-0.47973282142575485</v>
      </c>
      <c r="G5" s="152">
        <v>1</v>
      </c>
      <c r="H5" s="152"/>
      <c r="I5" s="152"/>
      <c r="J5" s="185"/>
      <c r="K5" s="185"/>
      <c r="L5" s="186"/>
      <c r="M5" s="186"/>
      <c r="N5" s="185"/>
      <c r="O5" s="185"/>
      <c r="P5" s="187"/>
      <c r="Q5" s="187"/>
      <c r="R5" s="186"/>
    </row>
    <row r="6" spans="1:18" ht="15.75" x14ac:dyDescent="0.25">
      <c r="B6" s="153">
        <v>-0.140186319</v>
      </c>
      <c r="C6" s="153">
        <v>0.43085447599999999</v>
      </c>
      <c r="D6" s="210" t="s">
        <v>153</v>
      </c>
      <c r="E6" s="211"/>
      <c r="F6" s="152">
        <v>-0.19911550664519018</v>
      </c>
      <c r="G6" s="152">
        <v>0.57907402782915296</v>
      </c>
      <c r="H6" s="210" t="s">
        <v>154</v>
      </c>
      <c r="I6" s="211"/>
      <c r="J6" s="185"/>
      <c r="K6" s="185"/>
      <c r="L6" s="212"/>
      <c r="M6" s="212"/>
      <c r="N6" s="185"/>
      <c r="O6" s="185"/>
      <c r="P6" s="212"/>
      <c r="Q6" s="212"/>
      <c r="R6" s="186"/>
    </row>
    <row r="7" spans="1:18" ht="18" x14ac:dyDescent="0.35">
      <c r="B7" s="153">
        <v>-8.1671281524922534E-2</v>
      </c>
      <c r="C7" s="153">
        <v>0.28456688237504457</v>
      </c>
      <c r="D7" s="154" t="s">
        <v>155</v>
      </c>
      <c r="E7" s="155" t="s">
        <v>156</v>
      </c>
      <c r="F7" s="152">
        <v>-0.19438973346230903</v>
      </c>
      <c r="G7" s="152">
        <v>0.56962248146339067</v>
      </c>
      <c r="H7" s="154" t="s">
        <v>155</v>
      </c>
      <c r="I7" s="155" t="s">
        <v>156</v>
      </c>
      <c r="J7" s="185"/>
      <c r="K7" s="185"/>
      <c r="L7" s="188"/>
      <c r="M7" s="189"/>
      <c r="N7" s="185"/>
      <c r="O7" s="185"/>
      <c r="P7" s="188"/>
      <c r="Q7" s="189"/>
      <c r="R7" s="186"/>
    </row>
    <row r="8" spans="1:18" ht="15.75" x14ac:dyDescent="0.25">
      <c r="B8" s="153">
        <v>-2.7076567666979245E-2</v>
      </c>
      <c r="C8" s="153">
        <v>0.13443141926570051</v>
      </c>
      <c r="D8" s="209" t="str">
        <f>IF(E4=0.75,J4,"")</f>
        <v/>
      </c>
      <c r="E8" s="156" t="str">
        <f>IF(D8="","",IF(AND(D8&gt;=0,D8&lt;1.5),B5*D8+C5,(IF(AND(D8&gt;=1.5,D8&lt;2.5),B6*D8+C6,(IF(AND(D8&gt;=2.5,D8&lt;2.75),B7*D8+C7,(IF(AND(D8&gt;=2.75,D8&lt;3),B8*D8+C8,(IF(AND(D8&gt;=3,D8&lt;=4),B9*D8+C9,""))))))))))</f>
        <v/>
      </c>
      <c r="F8" s="152">
        <v>-6.5659882154509575E-2</v>
      </c>
      <c r="G8" s="152">
        <v>0.24779785319389203</v>
      </c>
      <c r="H8" s="209" t="str">
        <f>IF(E4=1,J4,"")</f>
        <v/>
      </c>
      <c r="I8" s="156" t="str">
        <f>IF(H8="","",IF(AND(H8&gt;=0,H8&lt;1.5),F5*H8+G5,(IF(AND(H8&gt;=1.5,H8&lt;2.5),F6*H8+G6,(IF(AND(H8&gt;=2.5,H8&lt;2.75),F7*H8+G7,(IF(AND(H8&gt;=2.75,H8&lt;3),F8*H8+G8,(IF(AND(H8&gt;=3,H8&lt;=4),F9*H8+G9,""))))))))))</f>
        <v/>
      </c>
      <c r="J8" s="185"/>
      <c r="K8" s="185"/>
      <c r="L8" s="190"/>
      <c r="M8" s="191"/>
      <c r="N8" s="185"/>
      <c r="O8" s="185"/>
      <c r="P8" s="190"/>
      <c r="Q8" s="191"/>
      <c r="R8" s="186"/>
    </row>
    <row r="9" spans="1:18" ht="15.75" x14ac:dyDescent="0.25">
      <c r="B9" s="153">
        <v>-2.3724884784243672E-2</v>
      </c>
      <c r="C9" s="153">
        <v>0.12437637061749381</v>
      </c>
      <c r="D9" s="157"/>
      <c r="E9" s="158"/>
      <c r="F9" s="152">
        <v>-2.0324046495468762E-2</v>
      </c>
      <c r="G9" s="152">
        <v>0.12312430513152979</v>
      </c>
      <c r="H9" s="157"/>
      <c r="I9" s="158"/>
      <c r="J9" s="185"/>
      <c r="K9" s="185"/>
      <c r="L9" s="192"/>
      <c r="M9" s="191"/>
      <c r="N9" s="185"/>
      <c r="O9" s="185"/>
      <c r="P9" s="192"/>
      <c r="Q9" s="191"/>
      <c r="R9" s="186"/>
    </row>
    <row r="10" spans="1:18" x14ac:dyDescent="0.25">
      <c r="D10" s="36"/>
      <c r="E10" s="159"/>
      <c r="H10" s="36"/>
      <c r="I10" s="159"/>
      <c r="J10" s="191"/>
      <c r="K10" s="186"/>
      <c r="L10" s="186"/>
      <c r="M10" s="186"/>
      <c r="N10" s="186"/>
      <c r="O10" s="186"/>
      <c r="P10" s="186"/>
      <c r="Q10" s="186"/>
      <c r="R10" s="186"/>
    </row>
    <row r="11" spans="1:18" ht="15.75" x14ac:dyDescent="0.25">
      <c r="B11" s="149" t="s">
        <v>157</v>
      </c>
      <c r="J11" s="186"/>
      <c r="K11" s="186"/>
      <c r="L11" s="186"/>
      <c r="M11" s="186"/>
      <c r="N11" s="186"/>
      <c r="O11" s="186"/>
      <c r="P11" s="186"/>
      <c r="Q11" s="186"/>
      <c r="R11" s="186"/>
    </row>
    <row r="13" spans="1:18" ht="16.5" x14ac:dyDescent="0.3">
      <c r="B13" s="11" t="s">
        <v>203</v>
      </c>
      <c r="C13" s="11" t="s">
        <v>158</v>
      </c>
      <c r="D13" s="11" t="s">
        <v>159</v>
      </c>
      <c r="E13" s="2" t="s">
        <v>160</v>
      </c>
      <c r="F13" s="2" t="s">
        <v>201</v>
      </c>
      <c r="G13" s="11" t="s">
        <v>161</v>
      </c>
      <c r="H13" s="11" t="s">
        <v>162</v>
      </c>
      <c r="I13" s="2" t="s">
        <v>21</v>
      </c>
      <c r="J13" s="2" t="s">
        <v>2</v>
      </c>
      <c r="K13" s="11" t="s">
        <v>182</v>
      </c>
      <c r="L13" s="11" t="s">
        <v>184</v>
      </c>
      <c r="M13" s="11" t="s">
        <v>185</v>
      </c>
      <c r="N13" s="11" t="s">
        <v>163</v>
      </c>
      <c r="O13" s="11" t="s">
        <v>164</v>
      </c>
      <c r="P13" s="202" t="s">
        <v>194</v>
      </c>
      <c r="Q13" s="203" t="s">
        <v>195</v>
      </c>
      <c r="R13" s="203" t="s">
        <v>196</v>
      </c>
    </row>
    <row r="14" spans="1:18" ht="15.75" x14ac:dyDescent="0.25">
      <c r="B14" s="206"/>
      <c r="C14" s="206"/>
      <c r="D14" s="206"/>
      <c r="E14" s="207"/>
      <c r="F14" s="207"/>
      <c r="G14" s="207"/>
      <c r="H14" s="206"/>
      <c r="I14" s="208"/>
      <c r="J14" s="206"/>
      <c r="K14" s="161" t="str">
        <f>IF(E8="",I8,E8)</f>
        <v/>
      </c>
      <c r="L14" s="206"/>
      <c r="M14" s="206"/>
      <c r="N14" s="206"/>
      <c r="O14" s="206"/>
      <c r="P14" s="202" t="e">
        <f>ATAN(D18/E18)</f>
        <v>#DIV/0!</v>
      </c>
      <c r="Q14" s="204" t="e">
        <f>ATAN(D20/E20)</f>
        <v>#DIV/0!</v>
      </c>
      <c r="R14" s="204" t="e">
        <f>ATAN(D22/E22)</f>
        <v>#DIV/0!</v>
      </c>
    </row>
    <row r="15" spans="1:18" ht="15.75" x14ac:dyDescent="0.25">
      <c r="B15" s="162"/>
      <c r="C15" s="162"/>
      <c r="D15" s="162"/>
      <c r="E15" s="162"/>
      <c r="F15" s="162"/>
      <c r="G15" s="162"/>
      <c r="H15" s="162"/>
      <c r="I15" s="162"/>
      <c r="J15" s="162"/>
      <c r="K15" s="163"/>
      <c r="L15" s="137"/>
    </row>
    <row r="16" spans="1:18" ht="18.75" x14ac:dyDescent="0.35">
      <c r="B16" s="164" t="s">
        <v>15</v>
      </c>
      <c r="C16" s="164" t="s">
        <v>198</v>
      </c>
      <c r="D16" s="160" t="s">
        <v>199</v>
      </c>
      <c r="E16" s="160" t="s">
        <v>200</v>
      </c>
      <c r="F16" s="162"/>
      <c r="G16" s="162"/>
      <c r="I16" s="162"/>
      <c r="J16" s="162"/>
      <c r="K16" s="162"/>
      <c r="L16" s="162"/>
    </row>
    <row r="17" spans="2:12" ht="15.75" x14ac:dyDescent="0.25">
      <c r="B17" s="164">
        <v>1</v>
      </c>
      <c r="C17" s="83">
        <f t="shared" ref="C17:C24" si="0">(D17^2+E17^2)^0.5</f>
        <v>0</v>
      </c>
      <c r="D17" s="207"/>
      <c r="E17" s="207"/>
      <c r="F17" s="162"/>
      <c r="G17" s="162"/>
      <c r="I17" s="162"/>
      <c r="J17" s="162"/>
      <c r="K17" s="162"/>
      <c r="L17" s="162"/>
    </row>
    <row r="18" spans="2:12" ht="15.75" x14ac:dyDescent="0.25">
      <c r="B18" s="164">
        <v>2</v>
      </c>
      <c r="C18" s="83">
        <f t="shared" si="0"/>
        <v>0</v>
      </c>
      <c r="D18" s="207"/>
      <c r="E18" s="207"/>
      <c r="F18" s="162"/>
      <c r="G18" s="162"/>
      <c r="H18" s="162"/>
      <c r="I18" s="162"/>
      <c r="J18" s="162"/>
      <c r="K18" s="162"/>
      <c r="L18" s="162"/>
    </row>
    <row r="19" spans="2:12" ht="15.75" x14ac:dyDescent="0.25">
      <c r="B19" s="164">
        <v>3</v>
      </c>
      <c r="C19" s="83">
        <f t="shared" si="0"/>
        <v>0</v>
      </c>
      <c r="D19" s="207"/>
      <c r="E19" s="207"/>
      <c r="F19" s="162"/>
      <c r="G19" s="162"/>
      <c r="H19" s="162"/>
      <c r="I19" s="162"/>
      <c r="J19" s="162"/>
      <c r="K19" s="162"/>
      <c r="L19" s="162"/>
    </row>
    <row r="20" spans="2:12" ht="15.75" x14ac:dyDescent="0.25">
      <c r="B20" s="164">
        <v>4</v>
      </c>
      <c r="C20" s="83">
        <f t="shared" si="0"/>
        <v>0</v>
      </c>
      <c r="D20" s="207"/>
      <c r="E20" s="207"/>
      <c r="F20" s="162"/>
      <c r="G20" s="162"/>
      <c r="H20" s="162"/>
      <c r="I20" s="162"/>
      <c r="J20" s="162"/>
      <c r="K20" s="162"/>
      <c r="L20" s="162"/>
    </row>
    <row r="21" spans="2:12" ht="15.75" x14ac:dyDescent="0.25">
      <c r="B21" s="164">
        <v>5</v>
      </c>
      <c r="C21" s="83">
        <f t="shared" si="0"/>
        <v>0</v>
      </c>
      <c r="D21" s="207"/>
      <c r="E21" s="207"/>
      <c r="F21" s="162"/>
      <c r="G21" s="162"/>
      <c r="H21" s="162"/>
      <c r="I21" s="162"/>
      <c r="J21" s="162"/>
      <c r="K21" s="162"/>
      <c r="L21" s="162"/>
    </row>
    <row r="22" spans="2:12" ht="15.75" x14ac:dyDescent="0.25">
      <c r="B22" s="164">
        <v>6</v>
      </c>
      <c r="C22" s="83">
        <f t="shared" si="0"/>
        <v>0</v>
      </c>
      <c r="D22" s="207"/>
      <c r="E22" s="207"/>
      <c r="F22" s="162"/>
      <c r="G22" s="162"/>
      <c r="H22" s="162"/>
      <c r="I22" s="162"/>
      <c r="J22" s="162"/>
      <c r="K22" s="162"/>
      <c r="L22" s="162"/>
    </row>
    <row r="23" spans="2:12" ht="15.75" x14ac:dyDescent="0.25">
      <c r="B23" s="165">
        <v>7</v>
      </c>
      <c r="C23" s="83">
        <f t="shared" si="0"/>
        <v>0</v>
      </c>
      <c r="D23" s="207"/>
      <c r="E23" s="207"/>
      <c r="F23" s="162"/>
      <c r="G23" s="162"/>
      <c r="H23" s="162"/>
      <c r="I23" s="162"/>
      <c r="J23" s="162"/>
      <c r="K23" s="162"/>
      <c r="L23" s="162"/>
    </row>
    <row r="24" spans="2:12" ht="15.75" x14ac:dyDescent="0.25">
      <c r="B24" s="165">
        <v>8</v>
      </c>
      <c r="C24" s="83">
        <f t="shared" si="0"/>
        <v>0</v>
      </c>
      <c r="D24" s="207"/>
      <c r="E24" s="207"/>
      <c r="F24" s="162"/>
      <c r="G24" s="162"/>
      <c r="H24" s="162"/>
      <c r="I24" s="162"/>
      <c r="J24" s="162"/>
      <c r="K24" s="162"/>
      <c r="L24" s="162"/>
    </row>
    <row r="25" spans="2:12" ht="15.75" x14ac:dyDescent="0.25"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</row>
    <row r="26" spans="2:12" ht="15.75" x14ac:dyDescent="0.25">
      <c r="B26" s="162"/>
      <c r="C26" s="162"/>
      <c r="D26" s="162"/>
      <c r="E26" s="162"/>
      <c r="F26" s="162"/>
      <c r="G26" s="162"/>
      <c r="H26" s="162"/>
      <c r="I26" s="162"/>
      <c r="J26" s="162"/>
      <c r="K26" s="162"/>
      <c r="L26" s="162"/>
    </row>
    <row r="27" spans="2:12" ht="15.75" x14ac:dyDescent="0.25"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</row>
    <row r="28" spans="2:12" ht="15.75" x14ac:dyDescent="0.25"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</row>
    <row r="29" spans="2:12" ht="15.75" x14ac:dyDescent="0.25"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</row>
    <row r="30" spans="2:12" ht="15.75" x14ac:dyDescent="0.25">
      <c r="B30" s="162"/>
      <c r="C30" s="162"/>
      <c r="D30" s="162"/>
      <c r="E30" s="162"/>
      <c r="F30" s="162"/>
      <c r="G30" s="162"/>
      <c r="H30" s="162"/>
      <c r="I30" s="162"/>
      <c r="J30" s="162"/>
      <c r="K30" s="162"/>
      <c r="L30" s="162"/>
    </row>
    <row r="31" spans="2:12" ht="15.75" x14ac:dyDescent="0.25"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</row>
    <row r="32" spans="2:12" ht="15.75" x14ac:dyDescent="0.25"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</row>
    <row r="34" spans="2:4" ht="15.75" x14ac:dyDescent="0.25">
      <c r="B34" s="149" t="s">
        <v>165</v>
      </c>
    </row>
    <row r="37" spans="2:4" x14ac:dyDescent="0.25">
      <c r="C37" s="166" t="s">
        <v>166</v>
      </c>
      <c r="D37" s="3" t="e">
        <f>2*(E17+E18+E19)/(E14)</f>
        <v>#DIV/0!</v>
      </c>
    </row>
    <row r="38" spans="2:4" ht="16.5" x14ac:dyDescent="0.25">
      <c r="C38" s="167" t="s">
        <v>167</v>
      </c>
      <c r="D38" s="3" t="e">
        <f>Q14*180/PI()</f>
        <v>#DIV/0!</v>
      </c>
    </row>
    <row r="39" spans="2:4" x14ac:dyDescent="0.25">
      <c r="C39" s="168" t="s">
        <v>168</v>
      </c>
      <c r="D39" s="3" t="e">
        <f>H14/(E14)</f>
        <v>#DIV/0!</v>
      </c>
    </row>
    <row r="40" spans="2:4" x14ac:dyDescent="0.25">
      <c r="C40" s="166" t="s">
        <v>169</v>
      </c>
      <c r="D40" s="3" t="e">
        <f>500*SIN(Q14)</f>
        <v>#DIV/0!</v>
      </c>
    </row>
    <row r="41" spans="2:4" ht="18.75" x14ac:dyDescent="0.25">
      <c r="B41" s="169" t="s">
        <v>170</v>
      </c>
      <c r="C41" s="170" t="s">
        <v>171</v>
      </c>
      <c r="D41" s="3" t="e">
        <f>0.04*(E14)*J14/I14</f>
        <v>#DIV/0!</v>
      </c>
    </row>
    <row r="46" spans="2:4" ht="15.75" x14ac:dyDescent="0.25">
      <c r="B46" s="149" t="s">
        <v>172</v>
      </c>
    </row>
    <row r="48" spans="2:4" ht="15.75" x14ac:dyDescent="0.25">
      <c r="B48" s="171" t="s">
        <v>173</v>
      </c>
    </row>
    <row r="50" spans="2:13" ht="20.25" x14ac:dyDescent="0.25">
      <c r="B50" s="172" t="s">
        <v>174</v>
      </c>
      <c r="C50" s="172" t="s">
        <v>175</v>
      </c>
      <c r="D50" s="172" t="s">
        <v>176</v>
      </c>
      <c r="E50" s="172" t="s">
        <v>177</v>
      </c>
      <c r="F50" s="172" t="s">
        <v>178</v>
      </c>
      <c r="G50" s="172" t="s">
        <v>179</v>
      </c>
      <c r="J50">
        <v>0</v>
      </c>
      <c r="K50" s="5" t="e">
        <f>B52</f>
        <v>#DIV/0!</v>
      </c>
      <c r="L50">
        <f>J50</f>
        <v>0</v>
      </c>
      <c r="M50" s="5" t="e">
        <f>F52</f>
        <v>#DIV/0!</v>
      </c>
    </row>
    <row r="51" spans="2:13" ht="18.75" x14ac:dyDescent="0.3">
      <c r="B51" s="173" t="s">
        <v>98</v>
      </c>
      <c r="C51" s="174" t="s">
        <v>180</v>
      </c>
      <c r="D51" s="174" t="s">
        <v>98</v>
      </c>
      <c r="E51" s="174" t="s">
        <v>180</v>
      </c>
      <c r="F51" s="174" t="s">
        <v>98</v>
      </c>
      <c r="G51" s="174" t="s">
        <v>180</v>
      </c>
      <c r="J51" s="5" t="e">
        <f>E52</f>
        <v>#DIV/0!</v>
      </c>
      <c r="K51" s="5" t="e">
        <f>B52</f>
        <v>#DIV/0!</v>
      </c>
      <c r="L51" s="5" t="e">
        <f>G52</f>
        <v>#DIV/0!</v>
      </c>
      <c r="M51">
        <v>0</v>
      </c>
    </row>
    <row r="52" spans="2:13" ht="18.75" x14ac:dyDescent="0.3">
      <c r="B52" s="175" t="e">
        <f>'résistance_section (3)'!B39</f>
        <v>#DIV/0!</v>
      </c>
      <c r="C52" s="176" t="e">
        <f>reaction_appui!K26</f>
        <v>#DIV/0!</v>
      </c>
      <c r="D52" s="175" t="e">
        <f>0.25*B52</f>
        <v>#DIV/0!</v>
      </c>
      <c r="E52" s="176" t="e">
        <f>0.25*C52</f>
        <v>#DIV/0!</v>
      </c>
      <c r="F52" s="175" t="e">
        <f>(C52*B52-E52*D52)/(C52-E52)</f>
        <v>#DIV/0!</v>
      </c>
      <c r="G52" s="176" t="e">
        <f>(C52*B52-E52*D52)/(B52-D52)</f>
        <v>#DIV/0!</v>
      </c>
      <c r="J52" s="5" t="e">
        <f>C52</f>
        <v>#DIV/0!</v>
      </c>
      <c r="K52" s="5" t="e">
        <f>D52</f>
        <v>#DIV/0!</v>
      </c>
    </row>
    <row r="53" spans="2:13" x14ac:dyDescent="0.25">
      <c r="J53" s="5" t="e">
        <f>C52</f>
        <v>#DIV/0!</v>
      </c>
      <c r="K53">
        <v>0</v>
      </c>
    </row>
    <row r="54" spans="2:13" ht="18.75" x14ac:dyDescent="0.3">
      <c r="D54" s="177"/>
    </row>
    <row r="55" spans="2:13" ht="15.75" x14ac:dyDescent="0.25">
      <c r="B55" s="171" t="s">
        <v>181</v>
      </c>
    </row>
    <row r="57" spans="2:13" ht="20.25" x14ac:dyDescent="0.25">
      <c r="B57" s="178" t="s">
        <v>174</v>
      </c>
      <c r="C57" s="178" t="s">
        <v>175</v>
      </c>
      <c r="D57" s="178" t="s">
        <v>176</v>
      </c>
      <c r="E57" s="178" t="s">
        <v>177</v>
      </c>
      <c r="F57" s="178" t="s">
        <v>178</v>
      </c>
      <c r="G57" s="178" t="s">
        <v>179</v>
      </c>
      <c r="J57">
        <v>0</v>
      </c>
      <c r="K57" s="5" t="e">
        <f>B59</f>
        <v>#DIV/0!</v>
      </c>
      <c r="L57">
        <f>J57</f>
        <v>0</v>
      </c>
      <c r="M57" s="5" t="e">
        <f>F59</f>
        <v>#DIV/0!</v>
      </c>
    </row>
    <row r="58" spans="2:13" ht="18.75" x14ac:dyDescent="0.3">
      <c r="B58" s="179" t="s">
        <v>98</v>
      </c>
      <c r="C58" s="180" t="s">
        <v>180</v>
      </c>
      <c r="D58" s="180" t="s">
        <v>98</v>
      </c>
      <c r="E58" s="180" t="s">
        <v>180</v>
      </c>
      <c r="F58" s="180" t="s">
        <v>98</v>
      </c>
      <c r="G58" s="180" t="s">
        <v>180</v>
      </c>
      <c r="J58" s="5" t="e">
        <f>E59</f>
        <v>#DIV/0!</v>
      </c>
      <c r="K58" s="5" t="e">
        <f>B59</f>
        <v>#DIV/0!</v>
      </c>
      <c r="L58" s="5" t="e">
        <f>G59</f>
        <v>#DIV/0!</v>
      </c>
      <c r="M58">
        <v>0</v>
      </c>
    </row>
    <row r="59" spans="2:13" ht="18.75" x14ac:dyDescent="0.3">
      <c r="B59" s="181" t="e">
        <f>B52</f>
        <v>#DIV/0!</v>
      </c>
      <c r="C59" s="182" t="e">
        <f>reaction_appui!K25</f>
        <v>#DIV/0!</v>
      </c>
      <c r="D59" s="181" t="e">
        <f>0.25*B59</f>
        <v>#DIV/0!</v>
      </c>
      <c r="E59" s="183" t="e">
        <f>0.25*C59</f>
        <v>#DIV/0!</v>
      </c>
      <c r="F59" s="181" t="e">
        <f>(C59*B59-E59*D59)/(C59-E59)</f>
        <v>#DIV/0!</v>
      </c>
      <c r="G59" s="183" t="e">
        <f>(C59*B59-E59*D59)/(B59-D59)</f>
        <v>#DIV/0!</v>
      </c>
      <c r="J59" s="5" t="e">
        <f>C59</f>
        <v>#DIV/0!</v>
      </c>
      <c r="K59" s="5" t="e">
        <f>D59</f>
        <v>#DIV/0!</v>
      </c>
    </row>
    <row r="60" spans="2:13" x14ac:dyDescent="0.25">
      <c r="J60" s="5" t="e">
        <f>C59</f>
        <v>#DIV/0!</v>
      </c>
      <c r="K60">
        <v>0</v>
      </c>
    </row>
    <row r="80" spans="5:5" x14ac:dyDescent="0.25">
      <c r="E80" s="184"/>
    </row>
  </sheetData>
  <sheetProtection password="DDF1" sheet="1" objects="1" scenarios="1" selectLockedCells="1"/>
  <mergeCells count="4">
    <mergeCell ref="D6:E6"/>
    <mergeCell ref="H6:I6"/>
    <mergeCell ref="L6:M6"/>
    <mergeCell ref="P6:Q6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2"/>
  <sheetViews>
    <sheetView topLeftCell="B1" workbookViewId="0">
      <selection activeCell="B26" sqref="B26"/>
    </sheetView>
  </sheetViews>
  <sheetFormatPr baseColWidth="10" defaultRowHeight="15" x14ac:dyDescent="0.25"/>
  <cols>
    <col min="2" max="2" width="11.42578125" bestFit="1" customWidth="1"/>
    <col min="3" max="3" width="7.85546875" bestFit="1" customWidth="1"/>
    <col min="4" max="4" width="8.28515625" bestFit="1" customWidth="1"/>
    <col min="5" max="5" width="12.28515625" customWidth="1"/>
    <col min="6" max="6" width="8.42578125" customWidth="1"/>
    <col min="7" max="7" width="10.28515625" bestFit="1" customWidth="1"/>
    <col min="8" max="8" width="7.42578125" bestFit="1" customWidth="1"/>
    <col min="11" max="11" width="14.85546875" bestFit="1" customWidth="1"/>
    <col min="12" max="12" width="17" customWidth="1"/>
    <col min="13" max="13" width="17" bestFit="1" customWidth="1"/>
    <col min="14" max="15" width="14.85546875" bestFit="1" customWidth="1"/>
    <col min="16" max="16" width="16.140625" bestFit="1" customWidth="1"/>
    <col min="17" max="17" width="17" bestFit="1" customWidth="1"/>
    <col min="18" max="18" width="14.85546875" bestFit="1" customWidth="1"/>
  </cols>
  <sheetData>
    <row r="2" spans="1:18" ht="16.5" x14ac:dyDescent="0.3">
      <c r="B2" s="2" t="s">
        <v>25</v>
      </c>
      <c r="C2" s="2" t="s">
        <v>22</v>
      </c>
      <c r="D2" s="2" t="s">
        <v>0</v>
      </c>
      <c r="E2" s="2" t="s">
        <v>2</v>
      </c>
      <c r="F2" s="11" t="s">
        <v>8</v>
      </c>
      <c r="G2" s="8"/>
      <c r="H2" s="8"/>
      <c r="I2" s="8"/>
      <c r="J2" s="8"/>
    </row>
    <row r="3" spans="1:18" x14ac:dyDescent="0.25">
      <c r="B3" s="7">
        <f>raidisseur!B3</f>
        <v>0</v>
      </c>
      <c r="C3" s="7" t="e">
        <f>raidisseur!C3</f>
        <v>#DIV/0!</v>
      </c>
      <c r="D3" s="2">
        <f>données!E3</f>
        <v>0</v>
      </c>
      <c r="E3" s="7">
        <f>données!H3</f>
        <v>0</v>
      </c>
      <c r="F3" s="13">
        <f>données!D8</f>
        <v>0</v>
      </c>
      <c r="G3" s="8"/>
      <c r="H3" s="8"/>
      <c r="I3" s="8"/>
      <c r="J3" s="8"/>
    </row>
    <row r="4" spans="1:18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8" ht="18.75" x14ac:dyDescent="0.3">
      <c r="B5" s="14" t="s">
        <v>5</v>
      </c>
      <c r="C5" s="14" t="s">
        <v>44</v>
      </c>
      <c r="D5" s="14" t="s">
        <v>47</v>
      </c>
      <c r="E5" s="14" t="s">
        <v>45</v>
      </c>
      <c r="F5" s="14" t="s">
        <v>48</v>
      </c>
      <c r="G5" s="14" t="s">
        <v>46</v>
      </c>
      <c r="H5" s="14" t="s">
        <v>8</v>
      </c>
      <c r="I5" s="14" t="s">
        <v>49</v>
      </c>
      <c r="J5" s="8"/>
      <c r="K5" s="14" t="s">
        <v>35</v>
      </c>
      <c r="L5" s="14" t="s">
        <v>36</v>
      </c>
      <c r="M5" s="14" t="s">
        <v>37</v>
      </c>
      <c r="N5" s="14" t="s">
        <v>38</v>
      </c>
      <c r="O5" s="14" t="s">
        <v>39</v>
      </c>
      <c r="P5" s="14" t="s">
        <v>40</v>
      </c>
      <c r="Q5" s="14" t="s">
        <v>41</v>
      </c>
      <c r="R5" s="14"/>
    </row>
    <row r="6" spans="1:18" ht="18.75" x14ac:dyDescent="0.3">
      <c r="A6" s="4"/>
      <c r="B6" s="14" t="s">
        <v>80</v>
      </c>
      <c r="C6" s="15">
        <f>raidisseur!C6</f>
        <v>0</v>
      </c>
      <c r="D6" s="15">
        <f>C6*$D$3</f>
        <v>0</v>
      </c>
      <c r="E6" s="15">
        <f>raidisseur!E6</f>
        <v>0</v>
      </c>
      <c r="F6" s="15">
        <f>D6*E6</f>
        <v>0</v>
      </c>
      <c r="G6" s="16" t="e">
        <f>$G$11-E6</f>
        <v>#DIV/0!</v>
      </c>
      <c r="H6" s="15">
        <f>raidisseur!H6</f>
        <v>0</v>
      </c>
      <c r="I6" s="7" t="e">
        <f>D6*H6^2/12+D6*G6^2</f>
        <v>#DIV/0!</v>
      </c>
      <c r="J6" s="8"/>
      <c r="K6" s="2" t="s">
        <v>42</v>
      </c>
      <c r="L6" s="2"/>
      <c r="M6" s="2" t="s">
        <v>43</v>
      </c>
      <c r="N6" s="2"/>
      <c r="O6" s="2" t="s">
        <v>123</v>
      </c>
      <c r="P6" s="2"/>
      <c r="Q6" s="2" t="s">
        <v>124</v>
      </c>
      <c r="R6" s="2"/>
    </row>
    <row r="7" spans="1:18" x14ac:dyDescent="0.25">
      <c r="A7" s="4"/>
      <c r="B7" s="14">
        <v>2</v>
      </c>
      <c r="C7" s="15">
        <f>raidisseur!C7</f>
        <v>0</v>
      </c>
      <c r="D7" s="15">
        <f>C7*$D$3</f>
        <v>0</v>
      </c>
      <c r="E7" s="15">
        <f>raidisseur!E7</f>
        <v>0</v>
      </c>
      <c r="F7" s="15">
        <f t="shared" ref="F7:F10" si="0">D7*E7</f>
        <v>0</v>
      </c>
      <c r="G7" s="16" t="e">
        <f>$G$11-E7</f>
        <v>#DIV/0!</v>
      </c>
      <c r="H7" s="15">
        <f>raidisseur!H7</f>
        <v>0</v>
      </c>
      <c r="I7" s="7" t="e">
        <f t="shared" ref="I7:I10" si="1">D7*H7^2/12+D7*G7^2</f>
        <v>#DIV/0!</v>
      </c>
      <c r="J7" s="8"/>
      <c r="K7" s="8"/>
      <c r="L7" s="8"/>
    </row>
    <row r="8" spans="1:18" x14ac:dyDescent="0.25">
      <c r="A8" s="4"/>
      <c r="B8" s="14">
        <v>3</v>
      </c>
      <c r="C8" s="15">
        <f>raidisseur!C8</f>
        <v>0</v>
      </c>
      <c r="D8" s="15">
        <f>C8*$D$3</f>
        <v>0</v>
      </c>
      <c r="E8" s="15">
        <f>raidisseur!E8</f>
        <v>0</v>
      </c>
      <c r="F8" s="15">
        <f t="shared" si="0"/>
        <v>0</v>
      </c>
      <c r="G8" s="16" t="e">
        <f>$G$11-E8</f>
        <v>#DIV/0!</v>
      </c>
      <c r="H8" s="15">
        <f>raidisseur!H8</f>
        <v>0</v>
      </c>
      <c r="I8" s="7" t="e">
        <f t="shared" si="1"/>
        <v>#DIV/0!</v>
      </c>
      <c r="J8" s="8"/>
      <c r="K8" s="8"/>
      <c r="L8" s="8"/>
    </row>
    <row r="9" spans="1:18" x14ac:dyDescent="0.25">
      <c r="A9" s="4"/>
      <c r="B9" s="14">
        <v>4</v>
      </c>
      <c r="C9" s="15">
        <f>raidisseur!C9</f>
        <v>0</v>
      </c>
      <c r="D9" s="15">
        <f>C9*$D$3</f>
        <v>0</v>
      </c>
      <c r="E9" s="15">
        <f>raidisseur!E9</f>
        <v>0</v>
      </c>
      <c r="F9" s="15">
        <f t="shared" si="0"/>
        <v>0</v>
      </c>
      <c r="G9" s="16" t="e">
        <f>$G$11-E9</f>
        <v>#DIV/0!</v>
      </c>
      <c r="H9" s="15">
        <f>raidisseur!H9</f>
        <v>0</v>
      </c>
      <c r="I9" s="7" t="e">
        <f t="shared" si="1"/>
        <v>#DIV/0!</v>
      </c>
      <c r="J9" s="8"/>
      <c r="K9" s="8"/>
      <c r="L9" s="8"/>
    </row>
    <row r="10" spans="1:18" x14ac:dyDescent="0.25">
      <c r="B10" s="14" t="s">
        <v>81</v>
      </c>
      <c r="C10" s="15">
        <f>raidisseur!C10</f>
        <v>0</v>
      </c>
      <c r="D10" s="15">
        <f>C10*$D$3</f>
        <v>0</v>
      </c>
      <c r="E10" s="15">
        <f>raidisseur!E10</f>
        <v>0</v>
      </c>
      <c r="F10" s="15">
        <f t="shared" si="0"/>
        <v>0</v>
      </c>
      <c r="G10" s="16" t="e">
        <f>$G$11-E10</f>
        <v>#DIV/0!</v>
      </c>
      <c r="H10" s="15">
        <f>raidisseur!H10</f>
        <v>0</v>
      </c>
      <c r="I10" s="7" t="e">
        <f t="shared" si="1"/>
        <v>#DIV/0!</v>
      </c>
      <c r="J10" s="8"/>
    </row>
    <row r="11" spans="1:18" x14ac:dyDescent="0.25">
      <c r="B11" s="27" t="s">
        <v>6</v>
      </c>
      <c r="C11" s="17"/>
      <c r="D11" s="28">
        <f>SUM(D6:D10)</f>
        <v>0</v>
      </c>
      <c r="E11" s="18"/>
      <c r="F11" s="15">
        <f>SUM(F6:F10)</f>
        <v>0</v>
      </c>
      <c r="G11" s="18" t="e">
        <f>F11/D11</f>
        <v>#DIV/0!</v>
      </c>
      <c r="H11" s="18"/>
      <c r="I11" s="7" t="e">
        <f>SUM(I6:I10)</f>
        <v>#DIV/0!</v>
      </c>
      <c r="J11" s="8"/>
    </row>
    <row r="12" spans="1:18" x14ac:dyDescent="0.25">
      <c r="B12" s="19"/>
      <c r="C12" s="18"/>
      <c r="D12" s="18"/>
      <c r="E12" s="18"/>
      <c r="F12" s="18"/>
      <c r="G12" s="18"/>
      <c r="H12" s="18"/>
      <c r="I12" s="137"/>
      <c r="J12" s="8"/>
    </row>
    <row r="13" spans="1:18" ht="16.5" x14ac:dyDescent="0.3">
      <c r="B13" s="14" t="s">
        <v>5</v>
      </c>
      <c r="C13" s="14" t="s">
        <v>44</v>
      </c>
      <c r="D13" s="14" t="s">
        <v>47</v>
      </c>
      <c r="E13" s="14"/>
      <c r="F13" s="14"/>
      <c r="G13" s="14"/>
      <c r="H13" s="14"/>
      <c r="I13" s="14"/>
      <c r="J13" s="8"/>
      <c r="K13" s="14" t="s">
        <v>35</v>
      </c>
      <c r="L13" s="14" t="s">
        <v>36</v>
      </c>
      <c r="M13" s="14" t="s">
        <v>37</v>
      </c>
      <c r="N13" s="14" t="s">
        <v>38</v>
      </c>
      <c r="O13" s="14" t="s">
        <v>39</v>
      </c>
      <c r="P13" s="14" t="s">
        <v>40</v>
      </c>
      <c r="Q13" s="14" t="s">
        <v>41</v>
      </c>
      <c r="R13" s="14"/>
    </row>
    <row r="14" spans="1:18" ht="18.75" x14ac:dyDescent="0.3">
      <c r="A14" s="4"/>
      <c r="B14" s="14" t="s">
        <v>80</v>
      </c>
      <c r="C14" s="15" t="e">
        <f>'largeur_eff_semelle (2)'!O5</f>
        <v>#DIV/0!</v>
      </c>
      <c r="D14" s="15" t="e">
        <f>C14*$D$3</f>
        <v>#DIV/0!</v>
      </c>
      <c r="E14" s="15"/>
      <c r="F14" s="15"/>
      <c r="G14" s="16"/>
      <c r="H14" s="16"/>
      <c r="I14" s="87"/>
      <c r="J14" s="8"/>
      <c r="K14" s="2" t="s">
        <v>42</v>
      </c>
      <c r="L14" s="2"/>
      <c r="M14" s="2" t="s">
        <v>43</v>
      </c>
      <c r="N14" s="2"/>
      <c r="O14" s="2" t="s">
        <v>123</v>
      </c>
      <c r="P14" s="2"/>
      <c r="Q14" s="2" t="s">
        <v>124</v>
      </c>
      <c r="R14" s="2"/>
    </row>
    <row r="15" spans="1:18" x14ac:dyDescent="0.25">
      <c r="A15" s="4"/>
      <c r="B15" s="14">
        <v>2</v>
      </c>
      <c r="C15" s="15">
        <f>C7</f>
        <v>0</v>
      </c>
      <c r="D15" s="15">
        <f t="shared" ref="D15:D18" si="2">C15*$D$3</f>
        <v>0</v>
      </c>
      <c r="E15" s="15"/>
      <c r="F15" s="15"/>
      <c r="G15" s="16"/>
      <c r="H15" s="16"/>
      <c r="I15" s="6"/>
      <c r="J15" s="8"/>
      <c r="K15" s="8"/>
      <c r="L15" s="8"/>
    </row>
    <row r="16" spans="1:18" x14ac:dyDescent="0.25">
      <c r="A16" s="4"/>
      <c r="B16" s="14">
        <v>3</v>
      </c>
      <c r="C16" s="15">
        <f t="shared" ref="C16:C17" si="3">C8</f>
        <v>0</v>
      </c>
      <c r="D16" s="15">
        <f t="shared" si="2"/>
        <v>0</v>
      </c>
      <c r="E16" s="50"/>
      <c r="F16" s="15"/>
      <c r="G16" s="16"/>
      <c r="H16" s="16"/>
      <c r="I16" s="7"/>
      <c r="J16" s="8"/>
      <c r="K16" s="8"/>
      <c r="L16" s="8"/>
    </row>
    <row r="17" spans="1:12" x14ac:dyDescent="0.25">
      <c r="A17" s="4"/>
      <c r="B17" s="14">
        <v>4</v>
      </c>
      <c r="C17" s="15">
        <f t="shared" si="3"/>
        <v>0</v>
      </c>
      <c r="D17" s="15">
        <f t="shared" si="2"/>
        <v>0</v>
      </c>
      <c r="E17" s="17"/>
      <c r="F17" s="15"/>
      <c r="G17" s="16"/>
      <c r="H17" s="16"/>
      <c r="I17" s="6"/>
      <c r="J17" s="8"/>
      <c r="K17" s="8"/>
      <c r="L17" s="8"/>
    </row>
    <row r="18" spans="1:12" x14ac:dyDescent="0.25">
      <c r="B18" s="14" t="s">
        <v>81</v>
      </c>
      <c r="C18" s="15" t="e">
        <f>'largeur_eff_semelle (2)'!O5</f>
        <v>#DIV/0!</v>
      </c>
      <c r="D18" s="15" t="e">
        <f t="shared" si="2"/>
        <v>#DIV/0!</v>
      </c>
      <c r="E18" s="15"/>
      <c r="F18" s="15"/>
      <c r="G18" s="16"/>
      <c r="H18" s="16"/>
      <c r="I18" s="87"/>
      <c r="J18" s="8"/>
    </row>
    <row r="19" spans="1:12" x14ac:dyDescent="0.25">
      <c r="B19" s="27" t="s">
        <v>6</v>
      </c>
      <c r="C19" s="17"/>
      <c r="D19" s="28" t="e">
        <f>SUM(D14:D18)</f>
        <v>#DIV/0!</v>
      </c>
      <c r="E19" s="18"/>
      <c r="F19" s="15"/>
      <c r="G19" s="18"/>
      <c r="H19" s="18"/>
      <c r="I19" s="7"/>
      <c r="J19" s="8"/>
    </row>
    <row r="20" spans="1:12" x14ac:dyDescent="0.25">
      <c r="B20" s="19"/>
      <c r="C20" s="18"/>
      <c r="D20" s="18"/>
      <c r="E20" s="18"/>
      <c r="F20" s="18"/>
      <c r="G20" s="18"/>
      <c r="H20" s="18"/>
      <c r="I20" s="137"/>
      <c r="J20" s="8"/>
    </row>
    <row r="21" spans="1:12" x14ac:dyDescent="0.25">
      <c r="B21" s="19"/>
      <c r="C21" s="19"/>
      <c r="D21" s="19"/>
      <c r="E21" s="19"/>
      <c r="F21" s="19"/>
      <c r="G21" s="19"/>
      <c r="H21" s="20"/>
      <c r="I21" s="20"/>
      <c r="J21" s="20"/>
      <c r="K21" s="8"/>
      <c r="L21" s="8"/>
    </row>
    <row r="22" spans="1:12" ht="16.5" x14ac:dyDescent="0.3">
      <c r="B22" s="2" t="s">
        <v>148</v>
      </c>
      <c r="C22" s="2"/>
      <c r="D22" s="2" t="s">
        <v>26</v>
      </c>
      <c r="E22" s="2" t="s">
        <v>27</v>
      </c>
      <c r="F22" s="2" t="s">
        <v>28</v>
      </c>
      <c r="G22" s="141" t="s">
        <v>149</v>
      </c>
      <c r="H22" s="2" t="s">
        <v>129</v>
      </c>
      <c r="I22" s="2" t="s">
        <v>29</v>
      </c>
      <c r="J22" s="8"/>
      <c r="K22" s="8"/>
      <c r="L22" s="8"/>
    </row>
    <row r="23" spans="1:12" x14ac:dyDescent="0.25">
      <c r="B23" s="7" t="e">
        <f>2*C3+B3</f>
        <v>#DIV/0!</v>
      </c>
      <c r="C23" s="7"/>
      <c r="D23" s="7">
        <f>données!N3</f>
        <v>0</v>
      </c>
      <c r="E23" s="7" t="e">
        <f>données!O3</f>
        <v>#DIV/0!</v>
      </c>
      <c r="F23" s="7" t="e">
        <f>3.07*(I11*C3^2*(2*C3+3*B3)/D3^3)^0.25</f>
        <v>#DIV/0!</v>
      </c>
      <c r="G23" s="7" t="e">
        <f>F23/E23</f>
        <v>#DIV/0!</v>
      </c>
      <c r="H23" s="7" t="e">
        <f>((E23+2*B23)/(E23+0.5*B23))^0.5</f>
        <v>#DIV/0!</v>
      </c>
      <c r="I23" s="88" t="e">
        <f>IF(G23&gt;2,H23,(H23-(H23-1)*(2*F23/E23-(F23/E23)^2)))</f>
        <v>#DIV/0!</v>
      </c>
      <c r="J23" s="8"/>
      <c r="K23" s="8"/>
      <c r="L23" s="8"/>
    </row>
    <row r="24" spans="1:12" x14ac:dyDescent="0.25"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12" ht="16.5" x14ac:dyDescent="0.3">
      <c r="B25" s="2" t="s">
        <v>50</v>
      </c>
      <c r="C25" s="8"/>
      <c r="D25" s="8"/>
      <c r="E25" s="8"/>
      <c r="F25" s="8"/>
      <c r="G25" s="8"/>
      <c r="H25" s="8"/>
      <c r="I25" s="8"/>
      <c r="J25" s="8"/>
      <c r="K25" s="8"/>
    </row>
    <row r="26" spans="1:12" x14ac:dyDescent="0.25">
      <c r="B26" s="7" t="e">
        <f>4.2*I23*E3/D19*(I11*D3^3/4/C3^2/(2*C3+3*B3))^0.5</f>
        <v>#DIV/0!</v>
      </c>
      <c r="C26" s="8"/>
      <c r="D26" s="8"/>
      <c r="E26" s="8"/>
      <c r="F26" s="8"/>
      <c r="G26" s="8"/>
      <c r="H26" s="8"/>
      <c r="I26" s="8"/>
      <c r="J26" s="8"/>
      <c r="K26" s="8"/>
    </row>
    <row r="28" spans="1:12" ht="16.5" x14ac:dyDescent="0.3">
      <c r="B28" s="2" t="s">
        <v>21</v>
      </c>
      <c r="C28" s="2" t="s">
        <v>10</v>
      </c>
      <c r="D28" s="2" t="s">
        <v>130</v>
      </c>
      <c r="E28" s="2" t="s">
        <v>131</v>
      </c>
    </row>
    <row r="29" spans="1:12" x14ac:dyDescent="0.25">
      <c r="B29" s="6">
        <f>données!G3</f>
        <v>0</v>
      </c>
      <c r="C29" s="12" t="e">
        <f>(B29/B26)^0.5</f>
        <v>#DIV/0!</v>
      </c>
      <c r="D29" t="e">
        <f>IF(C29&lt;0.65,1,(1.47-0.723*C29))</f>
        <v>#DIV/0!</v>
      </c>
      <c r="E29" t="e">
        <f>IF(C29&gt;1.38,0.66/C29,D29)</f>
        <v>#DIV/0!</v>
      </c>
    </row>
    <row r="31" spans="1:12" ht="16.5" x14ac:dyDescent="0.3">
      <c r="B31" s="7" t="s">
        <v>12</v>
      </c>
      <c r="C31" s="14" t="s">
        <v>56</v>
      </c>
      <c r="E31" t="s">
        <v>146</v>
      </c>
    </row>
    <row r="32" spans="1:12" x14ac:dyDescent="0.25">
      <c r="B32" s="89" t="e">
        <f>E29</f>
        <v>#DIV/0!</v>
      </c>
      <c r="C32" s="15" t="e">
        <f>B32*données!E3</f>
        <v>#DIV/0!</v>
      </c>
      <c r="E32" t="e">
        <f>B29/'largeur_eff_semelle (2)'!K5/'largeur_eff_semelle (2)'!J5</f>
        <v>#DIV/0!</v>
      </c>
      <c r="G32" t="e">
        <f>B32*E32</f>
        <v>#DIV/0!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"/>
  <sheetViews>
    <sheetView workbookViewId="0">
      <selection activeCell="N5" sqref="N5"/>
    </sheetView>
  </sheetViews>
  <sheetFormatPr baseColWidth="10" defaultRowHeight="15" x14ac:dyDescent="0.25"/>
  <cols>
    <col min="2" max="2" width="5.42578125" bestFit="1" customWidth="1"/>
    <col min="3" max="3" width="4.42578125" bestFit="1" customWidth="1"/>
    <col min="4" max="4" width="11.28515625" bestFit="1" customWidth="1"/>
    <col min="5" max="5" width="10.28515625" bestFit="1" customWidth="1"/>
    <col min="6" max="6" width="4.42578125" bestFit="1" customWidth="1"/>
    <col min="7" max="7" width="6.85546875" customWidth="1"/>
    <col min="8" max="8" width="4.42578125" customWidth="1"/>
    <col min="9" max="9" width="5.42578125" bestFit="1" customWidth="1"/>
    <col min="10" max="10" width="7.140625" customWidth="1"/>
    <col min="11" max="11" width="5.42578125" customWidth="1"/>
    <col min="12" max="12" width="7.7109375" customWidth="1"/>
    <col min="13" max="13" width="5.42578125" bestFit="1" customWidth="1"/>
    <col min="14" max="14" width="7.85546875" bestFit="1" customWidth="1"/>
    <col min="15" max="15" width="8.42578125" bestFit="1" customWidth="1"/>
  </cols>
  <sheetData>
    <row r="2" spans="2:15" x14ac:dyDescent="0.25">
      <c r="B2" s="8" t="s">
        <v>150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2:15" x14ac:dyDescent="0.2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2:15" ht="16.5" x14ac:dyDescent="0.3">
      <c r="B4" s="2" t="s">
        <v>22</v>
      </c>
      <c r="C4" s="2" t="s">
        <v>0</v>
      </c>
      <c r="D4" s="2" t="s">
        <v>21</v>
      </c>
      <c r="E4" s="2" t="s">
        <v>2</v>
      </c>
      <c r="F4" s="2" t="s">
        <v>1</v>
      </c>
      <c r="G4" s="47" t="s">
        <v>79</v>
      </c>
      <c r="H4" s="44" t="s">
        <v>75</v>
      </c>
      <c r="I4" s="2" t="s">
        <v>23</v>
      </c>
      <c r="J4" s="45" t="s">
        <v>77</v>
      </c>
      <c r="K4" s="46" t="s">
        <v>78</v>
      </c>
      <c r="L4" s="2" t="s">
        <v>76</v>
      </c>
      <c r="M4" s="2" t="s">
        <v>3</v>
      </c>
      <c r="N4" s="11" t="s">
        <v>24</v>
      </c>
      <c r="O4" s="11" t="s">
        <v>4</v>
      </c>
    </row>
    <row r="5" spans="2:15" x14ac:dyDescent="0.25">
      <c r="B5" s="7" t="e">
        <f>largeur_eff_semelle!B5</f>
        <v>#DIV/0!</v>
      </c>
      <c r="C5" s="7">
        <f>données!E3</f>
        <v>0</v>
      </c>
      <c r="D5" s="42">
        <f>données!G3</f>
        <v>0</v>
      </c>
      <c r="E5" s="7">
        <f>données!H3</f>
        <v>0</v>
      </c>
      <c r="F5" s="7">
        <v>4</v>
      </c>
      <c r="G5" s="7">
        <v>1</v>
      </c>
      <c r="H5" s="7" t="e">
        <f>(235/D5)^0.5</f>
        <v>#DIV/0!</v>
      </c>
      <c r="I5" s="12" t="e">
        <f>B5/C5/28.4/H5/(F5)^0.5</f>
        <v>#DIV/0!</v>
      </c>
      <c r="J5" s="96" t="e">
        <f>MIN(D5,'raidisseur (2)'!B32*D5*(données!$J$30-résistance_section!$H$31)/résistance_section!$H$31)</f>
        <v>#DIV/0!</v>
      </c>
      <c r="K5" s="12">
        <v>1</v>
      </c>
      <c r="L5" s="12" t="e">
        <f>I5*SQRT(J5/D5/K5)</f>
        <v>#DIV/0!</v>
      </c>
      <c r="M5" s="12" t="e">
        <f>IF(L5&gt;0.673,(L5-0.055*(3+G5))/L5^2+0.18*(I5-L5)/(I5-0.6),1)</f>
        <v>#DIV/0!</v>
      </c>
      <c r="N5" s="7" t="e">
        <f>M5*B5</f>
        <v>#DIV/0!</v>
      </c>
      <c r="O5" s="86" t="e">
        <f>N5/2</f>
        <v>#DIV/0!</v>
      </c>
    </row>
    <row r="6" spans="2:15" x14ac:dyDescent="0.25">
      <c r="B6" s="8"/>
      <c r="C6" s="8"/>
      <c r="D6" s="43"/>
      <c r="E6" s="8"/>
      <c r="F6" s="8"/>
      <c r="G6" s="8"/>
      <c r="H6" s="8"/>
      <c r="I6" s="8"/>
      <c r="J6" s="33"/>
      <c r="K6" s="8"/>
      <c r="L6" s="8"/>
      <c r="M6" s="8"/>
      <c r="N6" s="8"/>
      <c r="O6" s="8"/>
    </row>
    <row r="7" spans="2:15" x14ac:dyDescent="0.25">
      <c r="B7" s="8" t="s">
        <v>17</v>
      </c>
      <c r="C7" s="8"/>
      <c r="D7" s="43"/>
      <c r="E7" s="8"/>
      <c r="F7" s="8"/>
      <c r="G7" s="8"/>
      <c r="H7" s="8"/>
      <c r="I7" s="8"/>
      <c r="J7" s="33"/>
      <c r="K7" s="8"/>
      <c r="L7" s="8"/>
      <c r="M7" s="8"/>
      <c r="N7" s="8"/>
      <c r="O7" s="8"/>
    </row>
    <row r="8" spans="2:15" x14ac:dyDescent="0.25">
      <c r="B8" s="8"/>
      <c r="C8" s="8"/>
      <c r="D8" s="43"/>
      <c r="E8" s="8"/>
      <c r="F8" s="8"/>
      <c r="G8" s="8"/>
      <c r="H8" s="8"/>
      <c r="I8" s="8"/>
      <c r="J8" s="33"/>
      <c r="K8" s="8"/>
      <c r="L8" s="8"/>
      <c r="M8" s="8"/>
      <c r="N8" s="8"/>
      <c r="O8" s="8"/>
    </row>
    <row r="9" spans="2:15" ht="16.5" x14ac:dyDescent="0.3">
      <c r="B9" s="2" t="s">
        <v>22</v>
      </c>
      <c r="C9" s="2" t="s">
        <v>0</v>
      </c>
      <c r="D9" s="11" t="s">
        <v>21</v>
      </c>
      <c r="E9" s="2" t="s">
        <v>2</v>
      </c>
      <c r="F9" s="2" t="s">
        <v>1</v>
      </c>
      <c r="G9" s="47" t="s">
        <v>79</v>
      </c>
      <c r="H9" s="44" t="s">
        <v>75</v>
      </c>
      <c r="I9" s="2" t="s">
        <v>23</v>
      </c>
      <c r="J9" s="45" t="s">
        <v>77</v>
      </c>
      <c r="K9" s="46" t="s">
        <v>78</v>
      </c>
      <c r="L9" s="2" t="s">
        <v>76</v>
      </c>
      <c r="M9" s="2" t="s">
        <v>3</v>
      </c>
      <c r="N9" s="11" t="s">
        <v>24</v>
      </c>
      <c r="O9" s="11" t="s">
        <v>4</v>
      </c>
    </row>
    <row r="10" spans="2:15" x14ac:dyDescent="0.25">
      <c r="B10" s="7" t="e">
        <f>largeur_eff_semelle!B5</f>
        <v>#DIV/0!</v>
      </c>
      <c r="C10" s="7">
        <f>données!$E$3</f>
        <v>0</v>
      </c>
      <c r="D10" s="42">
        <f>données!$G$3</f>
        <v>0</v>
      </c>
      <c r="E10" s="7">
        <f>données!$H$3</f>
        <v>0</v>
      </c>
      <c r="F10" s="7">
        <v>4</v>
      </c>
      <c r="G10" s="7">
        <v>1</v>
      </c>
      <c r="H10" s="7" t="e">
        <f>(235/D10)^0.5</f>
        <v>#DIV/0!</v>
      </c>
      <c r="I10" s="12" t="e">
        <f>B10/C10/28.4/H10/(F10)^0.5</f>
        <v>#DIV/0!</v>
      </c>
      <c r="J10" s="96" t="e">
        <f>MIN(D10,D10*(données!$J$30-résistance_section!$H$31)/résistance_section!$H$31)</f>
        <v>#DIV/0!</v>
      </c>
      <c r="K10" s="12">
        <v>1</v>
      </c>
      <c r="L10" s="12" t="e">
        <f>I10*SQRT(J10/D10/K10)</f>
        <v>#DIV/0!</v>
      </c>
      <c r="M10" s="12" t="e">
        <f>IF(L10&gt;0.673,(L10-0.055*(3+G10))/L10^2+0.18*(I10-L10)/(I10-0.6),1)</f>
        <v>#DIV/0!</v>
      </c>
      <c r="N10" s="7" t="e">
        <f>M10*B10</f>
        <v>#DIV/0!</v>
      </c>
      <c r="O10" s="86" t="e">
        <f>N10/2</f>
        <v>#DIV/0!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2"/>
  <sheetViews>
    <sheetView workbookViewId="0">
      <selection activeCell="C19" sqref="C19"/>
    </sheetView>
  </sheetViews>
  <sheetFormatPr baseColWidth="10" defaultRowHeight="15" x14ac:dyDescent="0.25"/>
  <cols>
    <col min="2" max="2" width="11.42578125" bestFit="1" customWidth="1"/>
    <col min="3" max="3" width="7.85546875" bestFit="1" customWidth="1"/>
    <col min="4" max="4" width="8.28515625" bestFit="1" customWidth="1"/>
    <col min="5" max="5" width="12.42578125" customWidth="1"/>
    <col min="6" max="6" width="8.42578125" customWidth="1"/>
    <col min="7" max="7" width="10.28515625" bestFit="1" customWidth="1"/>
    <col min="8" max="8" width="7.42578125" bestFit="1" customWidth="1"/>
    <col min="11" max="11" width="14.85546875" bestFit="1" customWidth="1"/>
    <col min="12" max="12" width="17" customWidth="1"/>
    <col min="13" max="13" width="17" bestFit="1" customWidth="1"/>
    <col min="14" max="15" width="14.85546875" bestFit="1" customWidth="1"/>
    <col min="16" max="16" width="16.140625" bestFit="1" customWidth="1"/>
    <col min="17" max="17" width="17" bestFit="1" customWidth="1"/>
    <col min="18" max="18" width="14.85546875" bestFit="1" customWidth="1"/>
  </cols>
  <sheetData>
    <row r="2" spans="1:18" ht="16.5" x14ac:dyDescent="0.3">
      <c r="B2" s="2" t="s">
        <v>25</v>
      </c>
      <c r="C2" s="2" t="s">
        <v>22</v>
      </c>
      <c r="D2" s="2" t="s">
        <v>0</v>
      </c>
      <c r="E2" s="2" t="s">
        <v>2</v>
      </c>
      <c r="F2" s="11" t="s">
        <v>8</v>
      </c>
      <c r="G2" s="8"/>
      <c r="H2" s="8"/>
      <c r="I2" s="8"/>
      <c r="J2" s="8"/>
    </row>
    <row r="3" spans="1:18" x14ac:dyDescent="0.25">
      <c r="B3" s="7">
        <f>raidisseur!B3</f>
        <v>0</v>
      </c>
      <c r="C3" s="7" t="e">
        <f>raidisseur!C3</f>
        <v>#DIV/0!</v>
      </c>
      <c r="D3" s="2">
        <f>données!E3</f>
        <v>0</v>
      </c>
      <c r="E3" s="7">
        <f>données!H3</f>
        <v>0</v>
      </c>
      <c r="F3" s="13">
        <f>données!D8</f>
        <v>0</v>
      </c>
      <c r="G3" s="8"/>
      <c r="H3" s="8"/>
      <c r="I3" s="8"/>
      <c r="J3" s="8"/>
    </row>
    <row r="4" spans="1:18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8" ht="18.75" x14ac:dyDescent="0.3">
      <c r="B5" s="14" t="s">
        <v>5</v>
      </c>
      <c r="C5" s="14" t="s">
        <v>44</v>
      </c>
      <c r="D5" s="14" t="s">
        <v>47</v>
      </c>
      <c r="E5" s="14" t="s">
        <v>45</v>
      </c>
      <c r="F5" s="14" t="s">
        <v>48</v>
      </c>
      <c r="G5" s="14" t="s">
        <v>46</v>
      </c>
      <c r="H5" s="14" t="s">
        <v>8</v>
      </c>
      <c r="I5" s="14" t="s">
        <v>49</v>
      </c>
      <c r="J5" s="8"/>
      <c r="K5" s="14" t="s">
        <v>35</v>
      </c>
      <c r="L5" s="14" t="s">
        <v>36</v>
      </c>
      <c r="M5" s="14" t="s">
        <v>37</v>
      </c>
      <c r="N5" s="14" t="s">
        <v>38</v>
      </c>
      <c r="O5" s="14" t="s">
        <v>39</v>
      </c>
      <c r="P5" s="14" t="s">
        <v>40</v>
      </c>
      <c r="Q5" s="14" t="s">
        <v>41</v>
      </c>
      <c r="R5" s="14"/>
    </row>
    <row r="6" spans="1:18" ht="18.75" x14ac:dyDescent="0.3">
      <c r="A6" s="4"/>
      <c r="B6" s="14" t="s">
        <v>80</v>
      </c>
      <c r="C6" s="15">
        <f>raidisseur!C6</f>
        <v>0</v>
      </c>
      <c r="D6" s="15">
        <f>C6*$D$3</f>
        <v>0</v>
      </c>
      <c r="E6" s="15">
        <f>raidisseur!E6</f>
        <v>0</v>
      </c>
      <c r="F6" s="15">
        <f>D6*E6</f>
        <v>0</v>
      </c>
      <c r="G6" s="16" t="e">
        <f>$G$11-E6</f>
        <v>#DIV/0!</v>
      </c>
      <c r="H6" s="15">
        <f>raidisseur!H6</f>
        <v>0</v>
      </c>
      <c r="I6" s="7" t="e">
        <f>D6*H6^2/12+D6*G6^2</f>
        <v>#DIV/0!</v>
      </c>
      <c r="J6" s="8"/>
      <c r="K6" s="2" t="s">
        <v>42</v>
      </c>
      <c r="L6" s="2"/>
      <c r="M6" s="2" t="s">
        <v>43</v>
      </c>
      <c r="N6" s="2"/>
      <c r="O6" s="2" t="s">
        <v>123</v>
      </c>
      <c r="P6" s="2"/>
      <c r="Q6" s="2" t="s">
        <v>124</v>
      </c>
      <c r="R6" s="2"/>
    </row>
    <row r="7" spans="1:18" x14ac:dyDescent="0.25">
      <c r="A7" s="4"/>
      <c r="B7" s="14">
        <v>2</v>
      </c>
      <c r="C7" s="15">
        <f>raidisseur!C7</f>
        <v>0</v>
      </c>
      <c r="D7" s="15">
        <f>C7*$D$3</f>
        <v>0</v>
      </c>
      <c r="E7" s="15">
        <f>raidisseur!E7</f>
        <v>0</v>
      </c>
      <c r="F7" s="15">
        <f t="shared" ref="F7:F10" si="0">D7*E7</f>
        <v>0</v>
      </c>
      <c r="G7" s="16" t="e">
        <f>$G$11-E7</f>
        <v>#DIV/0!</v>
      </c>
      <c r="H7" s="15">
        <f>raidisseur!H7</f>
        <v>0</v>
      </c>
      <c r="I7" s="7" t="e">
        <f t="shared" ref="I7:I10" si="1">D7*H7^2/12+D7*G7^2</f>
        <v>#DIV/0!</v>
      </c>
      <c r="J7" s="8"/>
      <c r="K7" s="8"/>
      <c r="L7" s="8"/>
    </row>
    <row r="8" spans="1:18" x14ac:dyDescent="0.25">
      <c r="A8" s="4"/>
      <c r="B8" s="14">
        <v>3</v>
      </c>
      <c r="C8" s="15">
        <f>raidisseur!C8</f>
        <v>0</v>
      </c>
      <c r="D8" s="15">
        <f>C8*$D$3</f>
        <v>0</v>
      </c>
      <c r="E8" s="15">
        <f>raidisseur!E8</f>
        <v>0</v>
      </c>
      <c r="F8" s="15">
        <f t="shared" si="0"/>
        <v>0</v>
      </c>
      <c r="G8" s="16" t="e">
        <f>$G$11-E8</f>
        <v>#DIV/0!</v>
      </c>
      <c r="H8" s="15">
        <f>raidisseur!H8</f>
        <v>0</v>
      </c>
      <c r="I8" s="7" t="e">
        <f t="shared" si="1"/>
        <v>#DIV/0!</v>
      </c>
      <c r="J8" s="8"/>
      <c r="K8" s="8"/>
      <c r="L8" s="8"/>
    </row>
    <row r="9" spans="1:18" x14ac:dyDescent="0.25">
      <c r="A9" s="4"/>
      <c r="B9" s="14">
        <v>4</v>
      </c>
      <c r="C9" s="15">
        <f>raidisseur!C9</f>
        <v>0</v>
      </c>
      <c r="D9" s="15">
        <f>C9*$D$3</f>
        <v>0</v>
      </c>
      <c r="E9" s="15">
        <f>raidisseur!E9</f>
        <v>0</v>
      </c>
      <c r="F9" s="15">
        <f t="shared" si="0"/>
        <v>0</v>
      </c>
      <c r="G9" s="16" t="e">
        <f>$G$11-E9</f>
        <v>#DIV/0!</v>
      </c>
      <c r="H9" s="15">
        <f>raidisseur!H9</f>
        <v>0</v>
      </c>
      <c r="I9" s="7" t="e">
        <f t="shared" si="1"/>
        <v>#DIV/0!</v>
      </c>
      <c r="J9" s="8"/>
      <c r="K9" s="8"/>
      <c r="L9" s="8"/>
    </row>
    <row r="10" spans="1:18" x14ac:dyDescent="0.25">
      <c r="B10" s="14" t="s">
        <v>81</v>
      </c>
      <c r="C10" s="15">
        <f>raidisseur!C10</f>
        <v>0</v>
      </c>
      <c r="D10" s="15">
        <f>C10*$D$3</f>
        <v>0</v>
      </c>
      <c r="E10" s="15">
        <f>raidisseur!E10</f>
        <v>0</v>
      </c>
      <c r="F10" s="15">
        <f t="shared" si="0"/>
        <v>0</v>
      </c>
      <c r="G10" s="16" t="e">
        <f>$G$11-E10</f>
        <v>#DIV/0!</v>
      </c>
      <c r="H10" s="15">
        <f>raidisseur!H10</f>
        <v>0</v>
      </c>
      <c r="I10" s="7" t="e">
        <f t="shared" si="1"/>
        <v>#DIV/0!</v>
      </c>
      <c r="J10" s="8"/>
    </row>
    <row r="11" spans="1:18" x14ac:dyDescent="0.25">
      <c r="B11" s="27" t="s">
        <v>6</v>
      </c>
      <c r="C11" s="17"/>
      <c r="D11" s="28">
        <f>SUM(D6:D10)</f>
        <v>0</v>
      </c>
      <c r="E11" s="18"/>
      <c r="F11" s="15">
        <f>SUM(F6:F10)</f>
        <v>0</v>
      </c>
      <c r="G11" s="18" t="e">
        <f>F11/D11</f>
        <v>#DIV/0!</v>
      </c>
      <c r="H11" s="18"/>
      <c r="I11" s="7" t="e">
        <f>SUM(I6:I10)</f>
        <v>#DIV/0!</v>
      </c>
      <c r="J11" s="8"/>
    </row>
    <row r="12" spans="1:18" x14ac:dyDescent="0.25">
      <c r="B12" s="19"/>
      <c r="C12" s="18"/>
      <c r="D12" s="18"/>
      <c r="E12" s="18"/>
      <c r="F12" s="18"/>
      <c r="G12" s="18"/>
      <c r="H12" s="18"/>
      <c r="I12" s="137"/>
      <c r="J12" s="8"/>
    </row>
    <row r="13" spans="1:18" ht="16.5" x14ac:dyDescent="0.3">
      <c r="B13" s="14" t="s">
        <v>5</v>
      </c>
      <c r="C13" s="14" t="s">
        <v>44</v>
      </c>
      <c r="D13" s="14" t="s">
        <v>47</v>
      </c>
      <c r="E13" s="14"/>
      <c r="F13" s="14"/>
      <c r="G13" s="14"/>
      <c r="H13" s="14"/>
      <c r="I13" s="14"/>
      <c r="J13" s="8"/>
      <c r="K13" s="14" t="s">
        <v>35</v>
      </c>
      <c r="L13" s="14" t="s">
        <v>36</v>
      </c>
      <c r="M13" s="14" t="s">
        <v>37</v>
      </c>
      <c r="N13" s="14" t="s">
        <v>38</v>
      </c>
      <c r="O13" s="14" t="s">
        <v>39</v>
      </c>
      <c r="P13" s="14" t="s">
        <v>40</v>
      </c>
      <c r="Q13" s="14" t="s">
        <v>41</v>
      </c>
      <c r="R13" s="14"/>
    </row>
    <row r="14" spans="1:18" ht="18.75" x14ac:dyDescent="0.3">
      <c r="A14" s="4"/>
      <c r="B14" s="14" t="s">
        <v>80</v>
      </c>
      <c r="C14" s="15" t="e">
        <f>'largeur_eff_semelle bis (2)'!O5</f>
        <v>#DIV/0!</v>
      </c>
      <c r="D14" s="15" t="e">
        <f>C14*$D$3</f>
        <v>#DIV/0!</v>
      </c>
      <c r="E14" s="15"/>
      <c r="F14" s="15"/>
      <c r="G14" s="16"/>
      <c r="H14" s="16"/>
      <c r="I14" s="87"/>
      <c r="J14" s="8"/>
      <c r="K14" s="2" t="s">
        <v>42</v>
      </c>
      <c r="L14" s="2"/>
      <c r="M14" s="2" t="s">
        <v>43</v>
      </c>
      <c r="N14" s="2"/>
      <c r="O14" s="2" t="s">
        <v>123</v>
      </c>
      <c r="P14" s="2"/>
      <c r="Q14" s="2" t="s">
        <v>124</v>
      </c>
      <c r="R14" s="2"/>
    </row>
    <row r="15" spans="1:18" x14ac:dyDescent="0.25">
      <c r="A15" s="4"/>
      <c r="B15" s="14">
        <v>2</v>
      </c>
      <c r="C15" s="15">
        <f>C7</f>
        <v>0</v>
      </c>
      <c r="D15" s="15">
        <f t="shared" ref="D15:D18" si="2">C15*$D$3</f>
        <v>0</v>
      </c>
      <c r="E15" s="15"/>
      <c r="F15" s="15"/>
      <c r="G15" s="16"/>
      <c r="H15" s="16"/>
      <c r="I15" s="6"/>
      <c r="J15" s="8"/>
      <c r="K15" s="8"/>
      <c r="L15" s="8"/>
    </row>
    <row r="16" spans="1:18" x14ac:dyDescent="0.25">
      <c r="A16" s="4"/>
      <c r="B16" s="14">
        <v>3</v>
      </c>
      <c r="C16" s="15">
        <f t="shared" ref="C16:C17" si="3">C8</f>
        <v>0</v>
      </c>
      <c r="D16" s="15">
        <f t="shared" si="2"/>
        <v>0</v>
      </c>
      <c r="E16" s="50"/>
      <c r="F16" s="15"/>
      <c r="G16" s="16"/>
      <c r="H16" s="16"/>
      <c r="I16" s="7"/>
      <c r="J16" s="8"/>
      <c r="K16" s="8"/>
      <c r="L16" s="8"/>
    </row>
    <row r="17" spans="1:12" x14ac:dyDescent="0.25">
      <c r="A17" s="4"/>
      <c r="B17" s="14">
        <v>4</v>
      </c>
      <c r="C17" s="15">
        <f t="shared" si="3"/>
        <v>0</v>
      </c>
      <c r="D17" s="15">
        <f t="shared" si="2"/>
        <v>0</v>
      </c>
      <c r="E17" s="17"/>
      <c r="F17" s="15"/>
      <c r="G17" s="16"/>
      <c r="H17" s="16"/>
      <c r="I17" s="6"/>
      <c r="J17" s="8"/>
      <c r="K17" s="8"/>
      <c r="L17" s="8"/>
    </row>
    <row r="18" spans="1:12" x14ac:dyDescent="0.25">
      <c r="B18" s="14" t="s">
        <v>81</v>
      </c>
      <c r="C18" s="15" t="e">
        <f>'largeur_eff_semelle bis (2)'!O5</f>
        <v>#DIV/0!</v>
      </c>
      <c r="D18" s="15" t="e">
        <f t="shared" si="2"/>
        <v>#DIV/0!</v>
      </c>
      <c r="E18" s="15"/>
      <c r="F18" s="15"/>
      <c r="G18" s="16"/>
      <c r="H18" s="16"/>
      <c r="I18" s="87"/>
      <c r="J18" s="8"/>
    </row>
    <row r="19" spans="1:12" x14ac:dyDescent="0.25">
      <c r="B19" s="27" t="s">
        <v>6</v>
      </c>
      <c r="C19" s="17"/>
      <c r="D19" s="28" t="e">
        <f>SUM(D14:D18)</f>
        <v>#DIV/0!</v>
      </c>
      <c r="E19" s="18"/>
      <c r="F19" s="15"/>
      <c r="G19" s="18"/>
      <c r="H19" s="18"/>
      <c r="I19" s="7"/>
      <c r="J19" s="8"/>
    </row>
    <row r="20" spans="1:12" x14ac:dyDescent="0.25">
      <c r="B20" s="19"/>
      <c r="C20" s="18"/>
      <c r="D20" s="18"/>
      <c r="E20" s="18"/>
      <c r="F20" s="18"/>
      <c r="G20" s="18"/>
      <c r="H20" s="18"/>
      <c r="I20" s="137"/>
      <c r="J20" s="8"/>
    </row>
    <row r="21" spans="1:12" x14ac:dyDescent="0.25">
      <c r="B21" s="19"/>
      <c r="C21" s="19"/>
      <c r="D21" s="19"/>
      <c r="E21" s="19"/>
      <c r="F21" s="19"/>
      <c r="G21" s="19"/>
      <c r="H21" s="20"/>
      <c r="I21" s="20"/>
      <c r="J21" s="20"/>
      <c r="K21" s="8"/>
      <c r="L21" s="8"/>
    </row>
    <row r="22" spans="1:12" ht="16.5" x14ac:dyDescent="0.3">
      <c r="B22" s="2" t="s">
        <v>148</v>
      </c>
      <c r="C22" s="2"/>
      <c r="D22" s="2" t="s">
        <v>26</v>
      </c>
      <c r="E22" s="2" t="s">
        <v>27</v>
      </c>
      <c r="F22" s="2" t="s">
        <v>28</v>
      </c>
      <c r="G22" s="141" t="s">
        <v>149</v>
      </c>
      <c r="H22" s="2" t="s">
        <v>129</v>
      </c>
      <c r="I22" s="2" t="s">
        <v>29</v>
      </c>
      <c r="J22" s="8"/>
      <c r="K22" s="8"/>
      <c r="L22" s="8"/>
    </row>
    <row r="23" spans="1:12" x14ac:dyDescent="0.25">
      <c r="B23" s="7" t="e">
        <f>2*C3+B3</f>
        <v>#DIV/0!</v>
      </c>
      <c r="C23" s="7"/>
      <c r="D23" s="7">
        <f>données!N3</f>
        <v>0</v>
      </c>
      <c r="E23" s="7" t="e">
        <f>données!O3</f>
        <v>#DIV/0!</v>
      </c>
      <c r="F23" s="7" t="e">
        <f>3.07*(I11*C3^2*(2*C3+3*B3)/D3^3)^0.25</f>
        <v>#DIV/0!</v>
      </c>
      <c r="G23" s="7" t="e">
        <f>F23/E23</f>
        <v>#DIV/0!</v>
      </c>
      <c r="H23" s="7" t="e">
        <f>((E23+2*B23)/(E23+0.5*B23))^0.5</f>
        <v>#DIV/0!</v>
      </c>
      <c r="I23" s="88" t="e">
        <f>IF(G23&gt;2,H23,(H23-(H23-1)*(2*F23/E23-(F23/E23)^2)))</f>
        <v>#DIV/0!</v>
      </c>
      <c r="J23" s="8"/>
      <c r="K23" s="8"/>
      <c r="L23" s="8"/>
    </row>
    <row r="24" spans="1:12" x14ac:dyDescent="0.25"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12" ht="16.5" x14ac:dyDescent="0.3">
      <c r="B25" s="2" t="s">
        <v>50</v>
      </c>
      <c r="C25" s="8"/>
      <c r="D25" s="8"/>
      <c r="E25" s="8"/>
      <c r="F25" s="8"/>
      <c r="G25" s="8"/>
      <c r="H25" s="8"/>
      <c r="I25" s="8"/>
      <c r="J25" s="8"/>
      <c r="K25" s="8"/>
    </row>
    <row r="26" spans="1:12" x14ac:dyDescent="0.25">
      <c r="B26" s="7" t="e">
        <f>4.2*I23*E3/D19*(I11*D3^3/4/C3^2/(2*C3+3*B3))^0.5</f>
        <v>#DIV/0!</v>
      </c>
      <c r="C26" s="8"/>
      <c r="D26" s="8"/>
      <c r="E26" s="8"/>
      <c r="F26" s="8"/>
      <c r="G26" s="8"/>
      <c r="H26" s="8"/>
      <c r="I26" s="8"/>
      <c r="J26" s="8"/>
      <c r="K26" s="8"/>
    </row>
    <row r="28" spans="1:12" ht="16.5" x14ac:dyDescent="0.3">
      <c r="B28" s="2" t="s">
        <v>21</v>
      </c>
      <c r="C28" s="2" t="s">
        <v>10</v>
      </c>
      <c r="D28" s="2" t="s">
        <v>130</v>
      </c>
      <c r="E28" s="2" t="s">
        <v>131</v>
      </c>
    </row>
    <row r="29" spans="1:12" x14ac:dyDescent="0.25">
      <c r="B29" s="6">
        <f>données!G3</f>
        <v>0</v>
      </c>
      <c r="C29" s="12" t="e">
        <f>(B29/B26)^0.5</f>
        <v>#DIV/0!</v>
      </c>
      <c r="D29" t="e">
        <f>IF(C29&lt;0.65,1,(1.47-0.723*C29))</f>
        <v>#DIV/0!</v>
      </c>
      <c r="E29" t="e">
        <f>IF(C29&gt;1.38,0.66/C29,D29)</f>
        <v>#DIV/0!</v>
      </c>
    </row>
    <row r="31" spans="1:12" ht="16.5" x14ac:dyDescent="0.3">
      <c r="B31" s="7" t="s">
        <v>12</v>
      </c>
      <c r="C31" s="14" t="s">
        <v>56</v>
      </c>
      <c r="E31" t="s">
        <v>146</v>
      </c>
    </row>
    <row r="32" spans="1:12" x14ac:dyDescent="0.25">
      <c r="B32" s="89" t="e">
        <f>E29</f>
        <v>#DIV/0!</v>
      </c>
      <c r="C32" s="15" t="e">
        <f>B32*données!E3</f>
        <v>#DIV/0!</v>
      </c>
      <c r="E32" t="e">
        <f>B29/'largeur_eff_semelle (2)'!K5/'largeur_eff_semelle (2)'!J5</f>
        <v>#DIV/0!</v>
      </c>
      <c r="G32" t="e">
        <f>B32*E32</f>
        <v>#DIV/0!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7"/>
  <sheetViews>
    <sheetView workbookViewId="0">
      <selection activeCell="I3" sqref="I3"/>
    </sheetView>
  </sheetViews>
  <sheetFormatPr baseColWidth="10" defaultRowHeight="15" x14ac:dyDescent="0.25"/>
  <cols>
    <col min="6" max="6" width="11.42578125" customWidth="1"/>
  </cols>
  <sheetData>
    <row r="2" spans="2:9" ht="16.5" x14ac:dyDescent="0.3">
      <c r="B2" s="2" t="s">
        <v>0</v>
      </c>
      <c r="C2" s="2" t="s">
        <v>2</v>
      </c>
      <c r="D2" s="2" t="s">
        <v>21</v>
      </c>
      <c r="E2" s="46" t="s">
        <v>78</v>
      </c>
      <c r="F2" s="45" t="s">
        <v>77</v>
      </c>
      <c r="G2" s="2" t="s">
        <v>82</v>
      </c>
      <c r="H2" s="2" t="s">
        <v>33</v>
      </c>
      <c r="I2" s="8"/>
    </row>
    <row r="3" spans="2:9" x14ac:dyDescent="0.25">
      <c r="B3" s="2">
        <f>données!E3</f>
        <v>0</v>
      </c>
      <c r="C3" s="7">
        <f>données!H3</f>
        <v>0</v>
      </c>
      <c r="D3" s="51">
        <f>données!G3</f>
        <v>0</v>
      </c>
      <c r="E3" s="12">
        <v>1</v>
      </c>
      <c r="F3" s="12" t="e">
        <f>MIN(D3,D3*(données!$J$30-résistance_section!H31)/résistance_section!H31)</f>
        <v>#DIV/0!</v>
      </c>
      <c r="G3" s="7" t="e">
        <f>données!N3-résistance_section!H31</f>
        <v>#DIV/0!</v>
      </c>
      <c r="H3" s="2" t="e">
        <f>G3/SIN(données!B3)-données!C18</f>
        <v>#DIV/0!</v>
      </c>
      <c r="I3" s="8"/>
    </row>
    <row r="4" spans="2:9" x14ac:dyDescent="0.25">
      <c r="B4" s="8"/>
      <c r="C4" s="8"/>
      <c r="D4" s="8"/>
      <c r="E4" s="8"/>
      <c r="F4" s="8"/>
      <c r="G4" s="8"/>
      <c r="H4" s="8"/>
    </row>
    <row r="5" spans="2:9" ht="16.5" x14ac:dyDescent="0.3">
      <c r="B5" s="2" t="s">
        <v>30</v>
      </c>
      <c r="C5" s="2" t="s">
        <v>31</v>
      </c>
      <c r="D5" s="2" t="s">
        <v>144</v>
      </c>
      <c r="E5" s="2" t="s">
        <v>145</v>
      </c>
      <c r="F5" s="8"/>
      <c r="G5" s="8"/>
      <c r="H5" s="8"/>
    </row>
    <row r="6" spans="2:9" x14ac:dyDescent="0.25">
      <c r="B6" s="87" t="e">
        <f>0.95*B3*(C3/F3/E3)^0.5</f>
        <v>#DIV/0!</v>
      </c>
      <c r="C6" s="87" t="e">
        <f>B6</f>
        <v>#DIV/0!</v>
      </c>
      <c r="D6" s="7" t="e">
        <f>1.5*C6</f>
        <v>#DIV/0!</v>
      </c>
      <c r="E6" s="10" t="e">
        <f>C6+D6</f>
        <v>#DIV/0!</v>
      </c>
      <c r="F6" s="8"/>
      <c r="G6" s="90" t="s">
        <v>132</v>
      </c>
      <c r="H6" s="8"/>
    </row>
    <row r="7" spans="2:9" x14ac:dyDescent="0.25">
      <c r="B7" s="8"/>
      <c r="C7" s="8"/>
      <c r="D7" s="8"/>
      <c r="E7" s="8"/>
      <c r="F7" s="8"/>
      <c r="G7" s="8"/>
      <c r="H7" s="8"/>
    </row>
    <row r="8" spans="2:9" x14ac:dyDescent="0.25">
      <c r="B8" s="91" t="s">
        <v>9</v>
      </c>
      <c r="C8" s="92"/>
      <c r="D8" s="92"/>
      <c r="E8" s="92"/>
      <c r="F8" s="8"/>
      <c r="G8" s="8"/>
      <c r="H8" s="8"/>
    </row>
    <row r="9" spans="2:9" x14ac:dyDescent="0.25">
      <c r="B9" s="8"/>
      <c r="C9" s="8"/>
      <c r="D9" s="8"/>
      <c r="E9" s="8"/>
      <c r="F9" s="8"/>
      <c r="G9" s="8"/>
      <c r="H9" s="8"/>
    </row>
    <row r="10" spans="2:9" ht="18.75" x14ac:dyDescent="0.3">
      <c r="B10" s="14" t="s">
        <v>5</v>
      </c>
      <c r="C10" s="14" t="s">
        <v>44</v>
      </c>
      <c r="D10" s="14" t="s">
        <v>47</v>
      </c>
      <c r="E10" s="14" t="s">
        <v>45</v>
      </c>
      <c r="F10" s="14" t="s">
        <v>48</v>
      </c>
      <c r="G10" s="14" t="s">
        <v>32</v>
      </c>
      <c r="H10" s="8"/>
    </row>
    <row r="11" spans="2:9" x14ac:dyDescent="0.25">
      <c r="B11" s="48">
        <v>1</v>
      </c>
      <c r="C11" s="49">
        <f>largeur_eff_semelle!O10</f>
        <v>0</v>
      </c>
      <c r="D11" s="49">
        <f>C11*$B$3</f>
        <v>0</v>
      </c>
      <c r="E11" s="49">
        <v>0</v>
      </c>
      <c r="F11" s="49">
        <f>D11*E11</f>
        <v>0</v>
      </c>
      <c r="G11" s="52"/>
      <c r="H11" s="53"/>
    </row>
    <row r="12" spans="2:9" x14ac:dyDescent="0.25">
      <c r="B12" s="48">
        <v>2</v>
      </c>
      <c r="C12" s="49">
        <f>données!C7</f>
        <v>0</v>
      </c>
      <c r="D12" s="49">
        <f>C12*$B$3</f>
        <v>0</v>
      </c>
      <c r="E12" s="48">
        <f>données!D7/2</f>
        <v>0</v>
      </c>
      <c r="F12" s="49">
        <f>D12*E12</f>
        <v>0</v>
      </c>
      <c r="G12" s="52"/>
      <c r="H12" s="53"/>
    </row>
    <row r="13" spans="2:9" x14ac:dyDescent="0.25">
      <c r="B13" s="48">
        <v>3</v>
      </c>
      <c r="C13" s="49">
        <f>données!C8</f>
        <v>0</v>
      </c>
      <c r="D13" s="49">
        <f>C13*$B$3</f>
        <v>0</v>
      </c>
      <c r="E13" s="48">
        <f>données!D8/2</f>
        <v>0</v>
      </c>
      <c r="F13" s="49">
        <f>D13*E13</f>
        <v>0</v>
      </c>
      <c r="G13" s="52"/>
      <c r="H13" s="53"/>
    </row>
    <row r="14" spans="2:9" x14ac:dyDescent="0.25">
      <c r="B14" s="48">
        <v>4</v>
      </c>
      <c r="C14" s="49" t="e">
        <f>largeur_eff_semelle!O5</f>
        <v>#DIV/0!</v>
      </c>
      <c r="D14" s="49" t="e">
        <f>C14*$B$3</f>
        <v>#DIV/0!</v>
      </c>
      <c r="E14" s="49">
        <v>0</v>
      </c>
      <c r="F14" s="49" t="e">
        <f>D14*E14</f>
        <v>#DIV/0!</v>
      </c>
      <c r="G14" s="53"/>
      <c r="H14" s="53"/>
    </row>
    <row r="15" spans="2:9" x14ac:dyDescent="0.25">
      <c r="B15" s="48">
        <v>5</v>
      </c>
      <c r="C15" s="49" t="e">
        <f>largeur_eff_semelle!O5</f>
        <v>#DIV/0!</v>
      </c>
      <c r="D15" s="49" t="e">
        <f t="shared" ref="D15:D20" si="0">C15*$B$3</f>
        <v>#DIV/0!</v>
      </c>
      <c r="E15" s="49">
        <f>F8/2</f>
        <v>0</v>
      </c>
      <c r="F15" s="49" t="e">
        <f t="shared" ref="F15:F20" si="1">D15*E15</f>
        <v>#DIV/0!</v>
      </c>
      <c r="G15" s="53"/>
      <c r="H15" s="53"/>
    </row>
    <row r="16" spans="2:9" x14ac:dyDescent="0.25">
      <c r="B16" s="48">
        <v>6</v>
      </c>
      <c r="C16" s="49">
        <f>données!C10</f>
        <v>0</v>
      </c>
      <c r="D16" s="49">
        <f t="shared" si="0"/>
        <v>0</v>
      </c>
      <c r="E16" s="54">
        <f>données!D10/2</f>
        <v>0</v>
      </c>
      <c r="F16" s="49">
        <f t="shared" si="1"/>
        <v>0</v>
      </c>
      <c r="G16" s="53"/>
      <c r="H16" s="53"/>
    </row>
    <row r="17" spans="2:8" x14ac:dyDescent="0.25">
      <c r="B17" s="48">
        <v>7</v>
      </c>
      <c r="C17" s="49">
        <f>données!C11</f>
        <v>0</v>
      </c>
      <c r="D17" s="49">
        <f t="shared" si="0"/>
        <v>0</v>
      </c>
      <c r="E17" s="49">
        <f>données!D10+données!D11/2</f>
        <v>0</v>
      </c>
      <c r="F17" s="49">
        <f t="shared" si="1"/>
        <v>0</v>
      </c>
      <c r="G17" s="53"/>
      <c r="H17" s="53"/>
    </row>
    <row r="18" spans="2:8" x14ac:dyDescent="0.25">
      <c r="B18" s="48">
        <v>8</v>
      </c>
      <c r="C18" s="55">
        <f>données!C12</f>
        <v>0</v>
      </c>
      <c r="D18" s="49">
        <f>C18*$B$3</f>
        <v>0</v>
      </c>
      <c r="E18" s="49">
        <f>données!D10+données!D11+données!D12/2</f>
        <v>0</v>
      </c>
      <c r="F18" s="49">
        <f t="shared" si="1"/>
        <v>0</v>
      </c>
      <c r="G18" s="53"/>
      <c r="H18" s="53"/>
    </row>
    <row r="19" spans="2:8" x14ac:dyDescent="0.25">
      <c r="B19" s="48">
        <v>9</v>
      </c>
      <c r="C19" s="55">
        <f>données!C13</f>
        <v>0</v>
      </c>
      <c r="D19" s="49">
        <f t="shared" si="0"/>
        <v>0</v>
      </c>
      <c r="E19" s="49">
        <f>données!D15</f>
        <v>0</v>
      </c>
      <c r="F19" s="49">
        <f t="shared" si="1"/>
        <v>0</v>
      </c>
      <c r="G19" s="53"/>
      <c r="H19" s="53"/>
    </row>
    <row r="20" spans="2:8" x14ac:dyDescent="0.25">
      <c r="B20" s="48">
        <v>10</v>
      </c>
      <c r="C20" s="55">
        <f>données!C14</f>
        <v>0</v>
      </c>
      <c r="D20" s="49">
        <f t="shared" si="0"/>
        <v>0</v>
      </c>
      <c r="E20" s="49">
        <f>données!D15-données!D14/2</f>
        <v>0</v>
      </c>
      <c r="F20" s="49">
        <f t="shared" si="1"/>
        <v>0</v>
      </c>
      <c r="G20" s="53"/>
      <c r="H20" s="53"/>
    </row>
    <row r="21" spans="2:8" x14ac:dyDescent="0.25">
      <c r="B21" s="48" t="s">
        <v>6</v>
      </c>
      <c r="C21" s="53"/>
      <c r="D21" s="56" t="e">
        <f>SUM(D11:D20)</f>
        <v>#DIV/0!</v>
      </c>
      <c r="E21" s="53"/>
      <c r="F21" s="56" t="e">
        <f>SUM(F11:F20)</f>
        <v>#DIV/0!</v>
      </c>
      <c r="G21" s="56" t="e">
        <f>F21/D21</f>
        <v>#DIV/0!</v>
      </c>
      <c r="H21" s="53"/>
    </row>
    <row r="22" spans="2:8" x14ac:dyDescent="0.25">
      <c r="B22" s="53"/>
      <c r="C22" s="53"/>
      <c r="D22" s="53"/>
      <c r="E22" s="53"/>
      <c r="F22" s="53"/>
      <c r="G22" s="53"/>
      <c r="H22" s="53"/>
    </row>
    <row r="23" spans="2:8" ht="16.5" x14ac:dyDescent="0.3">
      <c r="B23" s="57" t="s">
        <v>84</v>
      </c>
      <c r="C23" s="57" t="s">
        <v>85</v>
      </c>
      <c r="D23" s="53"/>
      <c r="E23" s="53"/>
      <c r="F23" s="53"/>
      <c r="G23" s="53"/>
      <c r="H23" s="58" t="s">
        <v>86</v>
      </c>
    </row>
    <row r="24" spans="2:8" x14ac:dyDescent="0.25">
      <c r="B24" s="56">
        <f>données!D10</f>
        <v>0</v>
      </c>
      <c r="C24" s="56" t="e">
        <f>(1+0.5*B24/G21)*B6</f>
        <v>#DIV/0!</v>
      </c>
      <c r="D24" s="53"/>
      <c r="E24" s="53"/>
      <c r="F24" s="53"/>
      <c r="G24" s="53"/>
      <c r="H24" s="56" t="e">
        <f>D27/(C27+D27)*E27</f>
        <v>#DIV/0!</v>
      </c>
    </row>
    <row r="25" spans="2:8" x14ac:dyDescent="0.25">
      <c r="B25" s="53"/>
      <c r="C25" s="53"/>
      <c r="D25" s="53"/>
      <c r="E25" s="53"/>
      <c r="F25" s="53"/>
      <c r="G25" s="53"/>
      <c r="H25" s="59"/>
    </row>
    <row r="26" spans="2:8" ht="16.5" x14ac:dyDescent="0.3">
      <c r="B26" s="57" t="s">
        <v>87</v>
      </c>
      <c r="C26" s="57" t="s">
        <v>88</v>
      </c>
      <c r="D26" s="57" t="s">
        <v>86</v>
      </c>
      <c r="E26" s="57" t="s">
        <v>89</v>
      </c>
      <c r="F26" s="57" t="s">
        <v>90</v>
      </c>
      <c r="G26" s="58" t="s">
        <v>88</v>
      </c>
      <c r="H26" s="59"/>
    </row>
    <row r="27" spans="2:8" x14ac:dyDescent="0.25">
      <c r="B27" s="56">
        <f>données!F9</f>
        <v>0</v>
      </c>
      <c r="C27" s="56" t="e">
        <f>(1+0.5*(B24+B27)/G21)*B6</f>
        <v>#DIV/0!</v>
      </c>
      <c r="D27" s="56" t="e">
        <f>1.5*B6</f>
        <v>#DIV/0!</v>
      </c>
      <c r="E27" s="56" t="e">
        <f>(G21-(données!D15-données!D12))/SIN(données!D3)</f>
        <v>#DIV/0!</v>
      </c>
      <c r="F27" s="56" t="e">
        <f>C27+D27</f>
        <v>#DIV/0!</v>
      </c>
      <c r="G27" s="56" t="e">
        <f>C27/(C27+D27)*E27</f>
        <v>#DIV/0!</v>
      </c>
      <c r="H27" s="59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1"/>
  <sheetViews>
    <sheetView workbookViewId="0">
      <selection activeCell="D24" sqref="D24"/>
    </sheetView>
  </sheetViews>
  <sheetFormatPr baseColWidth="10" defaultRowHeight="15" x14ac:dyDescent="0.25"/>
  <cols>
    <col min="2" max="2" width="11.42578125" bestFit="1" customWidth="1"/>
  </cols>
  <sheetData>
    <row r="2" spans="2:15" ht="16.5" x14ac:dyDescent="0.3">
      <c r="B2" s="2" t="s">
        <v>0</v>
      </c>
      <c r="C2" s="2" t="s">
        <v>2</v>
      </c>
      <c r="D2" s="2" t="s">
        <v>21</v>
      </c>
      <c r="E2" s="8"/>
      <c r="F2" s="8"/>
      <c r="G2" s="8"/>
      <c r="H2" s="8"/>
      <c r="I2" s="8"/>
      <c r="J2" s="8"/>
      <c r="K2" s="8"/>
    </row>
    <row r="3" spans="2:15" x14ac:dyDescent="0.25">
      <c r="B3" s="2">
        <f>données!E3</f>
        <v>0</v>
      </c>
      <c r="C3" s="7">
        <f>données!H3</f>
        <v>0</v>
      </c>
      <c r="D3" s="6">
        <f>données!G3</f>
        <v>0</v>
      </c>
      <c r="E3" s="8"/>
      <c r="F3" s="8"/>
      <c r="G3" s="8"/>
      <c r="H3" s="8"/>
      <c r="I3" s="8"/>
      <c r="J3" s="8"/>
      <c r="K3" s="8"/>
    </row>
    <row r="4" spans="2:15" x14ac:dyDescent="0.25">
      <c r="B4" s="8"/>
      <c r="C4" s="8"/>
      <c r="D4" s="8"/>
      <c r="E4" s="8"/>
      <c r="F4" s="8"/>
      <c r="G4" s="8"/>
      <c r="H4" s="8"/>
      <c r="I4" s="8"/>
      <c r="J4" s="8"/>
      <c r="K4" s="8"/>
    </row>
    <row r="5" spans="2:15" ht="16.5" x14ac:dyDescent="0.3">
      <c r="B5" s="93" t="s">
        <v>92</v>
      </c>
      <c r="C5" s="93" t="s">
        <v>91</v>
      </c>
      <c r="D5" s="93" t="s">
        <v>85</v>
      </c>
      <c r="E5" s="93" t="s">
        <v>88</v>
      </c>
      <c r="F5" s="93" t="s">
        <v>91</v>
      </c>
      <c r="G5" s="8" t="s">
        <v>133</v>
      </c>
      <c r="H5" s="8"/>
      <c r="I5" s="8"/>
      <c r="J5" s="8"/>
      <c r="K5" s="8"/>
    </row>
    <row r="6" spans="2:15" x14ac:dyDescent="0.25">
      <c r="B6" s="94" t="e">
        <f>0.76*B3*(C3/D3)^0.5</f>
        <v>#DIV/0!</v>
      </c>
      <c r="C6" s="94" t="e">
        <f>B6</f>
        <v>#DIV/0!</v>
      </c>
      <c r="D6" s="94" t="e">
        <f>largeur_eff_ame!C24</f>
        <v>#DIV/0!</v>
      </c>
      <c r="E6" s="93" t="e">
        <f>largeur_eff_ame!G27</f>
        <v>#DIV/0!</v>
      </c>
      <c r="F6" s="93"/>
      <c r="G6" s="8"/>
      <c r="H6" s="8"/>
      <c r="I6" s="8"/>
      <c r="J6" s="8"/>
      <c r="K6" s="8"/>
    </row>
    <row r="7" spans="2:15" x14ac:dyDescent="0.25">
      <c r="B7" s="8"/>
      <c r="C7" s="8"/>
      <c r="D7" s="8"/>
      <c r="E7" s="8"/>
      <c r="F7" s="8"/>
      <c r="G7" s="8"/>
      <c r="H7" s="8"/>
      <c r="I7" s="8"/>
      <c r="J7" s="8"/>
      <c r="K7" s="8"/>
    </row>
    <row r="8" spans="2:15" x14ac:dyDescent="0.25">
      <c r="B8" s="21" t="s">
        <v>9</v>
      </c>
      <c r="C8" s="8"/>
      <c r="D8" s="8"/>
      <c r="E8" s="8"/>
      <c r="F8" s="8"/>
      <c r="G8" s="8"/>
      <c r="H8" s="8"/>
      <c r="I8" s="8"/>
      <c r="J8" s="8"/>
      <c r="K8" s="8"/>
    </row>
    <row r="9" spans="2:15" x14ac:dyDescent="0.25">
      <c r="B9" s="8"/>
      <c r="C9" s="8"/>
      <c r="D9" s="8"/>
      <c r="E9" s="8"/>
      <c r="F9" s="8"/>
      <c r="G9" s="8"/>
      <c r="H9" s="8"/>
      <c r="I9" s="8"/>
      <c r="J9" s="8"/>
      <c r="K9" s="8"/>
    </row>
    <row r="10" spans="2:15" ht="18.75" x14ac:dyDescent="0.3">
      <c r="B10" s="14" t="s">
        <v>5</v>
      </c>
      <c r="C10" s="14" t="s">
        <v>44</v>
      </c>
      <c r="D10" s="14" t="s">
        <v>51</v>
      </c>
      <c r="E10" s="14" t="s">
        <v>47</v>
      </c>
      <c r="F10" s="14" t="s">
        <v>45</v>
      </c>
      <c r="G10" s="14" t="s">
        <v>48</v>
      </c>
      <c r="H10" s="14" t="s">
        <v>46</v>
      </c>
      <c r="I10" s="23" t="s">
        <v>8</v>
      </c>
      <c r="J10" s="14" t="s">
        <v>49</v>
      </c>
      <c r="K10" s="24"/>
      <c r="M10" s="14" t="s">
        <v>5</v>
      </c>
      <c r="N10" s="23" t="s">
        <v>8</v>
      </c>
      <c r="O10" s="14" t="s">
        <v>49</v>
      </c>
    </row>
    <row r="11" spans="2:15" x14ac:dyDescent="0.25">
      <c r="B11" s="14">
        <v>1</v>
      </c>
      <c r="C11" s="15">
        <f>données!C30</f>
        <v>0</v>
      </c>
      <c r="D11" s="89" t="e">
        <f>'raidisseur (2bis)'!$B$32*$B$3</f>
        <v>#DIV/0!</v>
      </c>
      <c r="E11" s="136" t="e">
        <f>C11*D11*'raidisseur (2bis)'!E$32</f>
        <v>#DIV/0!</v>
      </c>
      <c r="F11" s="15">
        <f>données!J30</f>
        <v>0</v>
      </c>
      <c r="G11" s="15" t="e">
        <f>E11*F11</f>
        <v>#DIV/0!</v>
      </c>
      <c r="H11" s="7" t="e">
        <f>$H$31-F11</f>
        <v>#DIV/0!</v>
      </c>
      <c r="I11" s="30">
        <f>données!M30</f>
        <v>0</v>
      </c>
      <c r="J11" s="7" t="e">
        <f>E11*I11^2/12+E11*H11^2</f>
        <v>#DIV/0!</v>
      </c>
      <c r="K11" s="130"/>
      <c r="L11" s="131"/>
      <c r="M11" s="14">
        <v>1</v>
      </c>
      <c r="N11" s="3">
        <f>I11</f>
        <v>0</v>
      </c>
      <c r="O11" s="3" t="e">
        <f>J11</f>
        <v>#DIV/0!</v>
      </c>
    </row>
    <row r="12" spans="2:15" x14ac:dyDescent="0.25">
      <c r="B12" s="14">
        <v>2</v>
      </c>
      <c r="C12" s="15">
        <f>données!C31</f>
        <v>0</v>
      </c>
      <c r="D12" s="89" t="e">
        <f>'raidisseur (2bis)'!$B$32*$B$3</f>
        <v>#DIV/0!</v>
      </c>
      <c r="E12" s="136" t="e">
        <f>C12*D12*'raidisseur (2bis)'!E$32</f>
        <v>#DIV/0!</v>
      </c>
      <c r="F12" s="15">
        <f>données!J31</f>
        <v>0</v>
      </c>
      <c r="G12" s="15" t="e">
        <f t="shared" ref="G12:G28" si="0">E12*F12</f>
        <v>#DIV/0!</v>
      </c>
      <c r="H12" s="7" t="e">
        <f t="shared" ref="H12:H28" si="1">$H$31-F12</f>
        <v>#DIV/0!</v>
      </c>
      <c r="I12" s="30">
        <f>données!M31</f>
        <v>0</v>
      </c>
      <c r="J12" s="7" t="e">
        <f t="shared" ref="J12:J14" si="2">E12*I12^2/12+E12*H12^2</f>
        <v>#DIV/0!</v>
      </c>
      <c r="K12" s="132"/>
      <c r="L12" s="131"/>
      <c r="M12" s="14">
        <v>2</v>
      </c>
      <c r="N12" s="3">
        <f t="shared" ref="N12:O31" si="3">I12</f>
        <v>0</v>
      </c>
      <c r="O12" s="3" t="e">
        <f t="shared" si="3"/>
        <v>#DIV/0!</v>
      </c>
    </row>
    <row r="13" spans="2:15" x14ac:dyDescent="0.25">
      <c r="B13" s="14">
        <v>31</v>
      </c>
      <c r="C13" s="15" t="e">
        <f>'largeur_eff_semelle bis (2)'!O5</f>
        <v>#DIV/0!</v>
      </c>
      <c r="D13" s="89" t="e">
        <f>'raidisseur (2bis)'!$B$32*$B$3</f>
        <v>#DIV/0!</v>
      </c>
      <c r="E13" s="136" t="e">
        <f>C13*D13*'raidisseur (2bis)'!E$32</f>
        <v>#DIV/0!</v>
      </c>
      <c r="F13" s="15">
        <f>données!J$32</f>
        <v>0</v>
      </c>
      <c r="G13" s="15" t="e">
        <f t="shared" si="0"/>
        <v>#DIV/0!</v>
      </c>
      <c r="H13" s="7" t="e">
        <f t="shared" si="1"/>
        <v>#DIV/0!</v>
      </c>
      <c r="I13" s="30">
        <f>données!M32</f>
        <v>0</v>
      </c>
      <c r="J13" s="7" t="e">
        <f t="shared" si="2"/>
        <v>#DIV/0!</v>
      </c>
      <c r="K13" s="132"/>
      <c r="L13" s="131"/>
      <c r="M13" s="14">
        <v>3</v>
      </c>
      <c r="N13" s="3">
        <f t="shared" si="3"/>
        <v>0</v>
      </c>
      <c r="O13" s="3" t="e">
        <f t="shared" si="3"/>
        <v>#DIV/0!</v>
      </c>
    </row>
    <row r="14" spans="2:15" x14ac:dyDescent="0.25">
      <c r="B14" s="14">
        <v>32</v>
      </c>
      <c r="C14" s="15" t="e">
        <f>'largeur_eff_semelle bis (2)'!O10-données!C19</f>
        <v>#DIV/0!</v>
      </c>
      <c r="D14" s="25">
        <f>$B$3</f>
        <v>0</v>
      </c>
      <c r="E14" s="15" t="e">
        <f t="shared" ref="E14" si="4">C14*D14</f>
        <v>#DIV/0!</v>
      </c>
      <c r="F14" s="15">
        <f>données!J$32</f>
        <v>0</v>
      </c>
      <c r="G14" s="15" t="e">
        <f t="shared" si="0"/>
        <v>#DIV/0!</v>
      </c>
      <c r="H14" s="7" t="e">
        <f t="shared" si="1"/>
        <v>#DIV/0!</v>
      </c>
      <c r="I14" s="30">
        <f>données!M32</f>
        <v>0</v>
      </c>
      <c r="J14" s="7" t="e">
        <f t="shared" si="2"/>
        <v>#DIV/0!</v>
      </c>
      <c r="K14" s="132"/>
      <c r="L14" s="131"/>
      <c r="M14" s="14">
        <v>4</v>
      </c>
      <c r="N14" s="3">
        <f t="shared" si="3"/>
        <v>0</v>
      </c>
      <c r="O14" s="3" t="e">
        <f t="shared" si="3"/>
        <v>#DIV/0!</v>
      </c>
    </row>
    <row r="15" spans="2:15" x14ac:dyDescent="0.25">
      <c r="B15" s="14">
        <v>4</v>
      </c>
      <c r="C15" s="15" t="e">
        <f>données!C33</f>
        <v>#DIV/0!</v>
      </c>
      <c r="D15" s="25">
        <f t="shared" ref="D15:D17" si="5">$B$3</f>
        <v>0</v>
      </c>
      <c r="E15" s="15" t="e">
        <f t="shared" ref="E15:E17" si="6">C15*D15</f>
        <v>#DIV/0!</v>
      </c>
      <c r="F15" s="15" t="e">
        <f>données!J33</f>
        <v>#DIV/0!</v>
      </c>
      <c r="G15" s="15" t="e">
        <f t="shared" si="0"/>
        <v>#DIV/0!</v>
      </c>
      <c r="H15" s="7" t="e">
        <f t="shared" si="1"/>
        <v>#DIV/0!</v>
      </c>
      <c r="I15" s="30"/>
      <c r="J15" s="6" t="e">
        <f>B$3*données!I$3^3*((données!B$3+SIN(données!B$3)*COS(données!B$3))/2-SIN(données!B$3)^2/données!B$3)+E15*H15^2</f>
        <v>#DIV/0!</v>
      </c>
      <c r="K15" s="132"/>
      <c r="L15" s="131"/>
      <c r="M15" s="14">
        <v>5</v>
      </c>
      <c r="N15" s="3">
        <f t="shared" si="3"/>
        <v>0</v>
      </c>
      <c r="O15" s="3" t="e">
        <f t="shared" si="3"/>
        <v>#DIV/0!</v>
      </c>
    </row>
    <row r="16" spans="2:15" x14ac:dyDescent="0.25">
      <c r="B16" s="14">
        <v>5</v>
      </c>
      <c r="C16" s="15" t="e">
        <f>données!C34</f>
        <v>#DIV/0!</v>
      </c>
      <c r="D16" s="25">
        <f t="shared" si="5"/>
        <v>0</v>
      </c>
      <c r="E16" s="15" t="e">
        <f t="shared" si="6"/>
        <v>#DIV/0!</v>
      </c>
      <c r="F16" s="15">
        <f>données!J34</f>
        <v>0</v>
      </c>
      <c r="G16" s="15" t="e">
        <f t="shared" si="0"/>
        <v>#DIV/0!</v>
      </c>
      <c r="H16" s="7" t="e">
        <f t="shared" si="1"/>
        <v>#DIV/0!</v>
      </c>
      <c r="I16" s="30" t="e">
        <f>données!M34</f>
        <v>#DIV/0!</v>
      </c>
      <c r="J16" s="7" t="e">
        <f t="shared" ref="J16:J28" si="7">E16*I16^2/12+E16*H16^2</f>
        <v>#DIV/0!</v>
      </c>
      <c r="K16" s="132"/>
      <c r="L16" s="131"/>
      <c r="M16" s="14">
        <v>6</v>
      </c>
      <c r="N16" s="3" t="e">
        <f t="shared" si="3"/>
        <v>#DIV/0!</v>
      </c>
      <c r="O16" s="3" t="e">
        <f t="shared" si="3"/>
        <v>#DIV/0!</v>
      </c>
    </row>
    <row r="17" spans="2:15" x14ac:dyDescent="0.25">
      <c r="B17" s="14">
        <v>6</v>
      </c>
      <c r="C17" s="15" t="e">
        <f>données!C35</f>
        <v>#DIV/0!</v>
      </c>
      <c r="D17" s="25">
        <f t="shared" si="5"/>
        <v>0</v>
      </c>
      <c r="E17" s="15" t="e">
        <f t="shared" si="6"/>
        <v>#DIV/0!</v>
      </c>
      <c r="F17" s="15" t="e">
        <f>données!J35</f>
        <v>#DIV/0!</v>
      </c>
      <c r="G17" s="15" t="e">
        <f t="shared" si="0"/>
        <v>#DIV/0!</v>
      </c>
      <c r="H17" s="7" t="e">
        <f t="shared" si="1"/>
        <v>#DIV/0!</v>
      </c>
      <c r="I17" s="30"/>
      <c r="J17" s="6" t="e">
        <f>B$3*données!I$3^3*((données!B$3+SIN(données!B$3)*COS(données!B$3))/2-SIN(données!B$3)^2/données!B$3)+E17*H17^2</f>
        <v>#DIV/0!</v>
      </c>
      <c r="K17" s="132"/>
      <c r="L17" s="131"/>
      <c r="M17" s="14">
        <v>7</v>
      </c>
      <c r="N17" s="3">
        <f t="shared" si="3"/>
        <v>0</v>
      </c>
      <c r="O17" s="3" t="e">
        <f t="shared" si="3"/>
        <v>#DIV/0!</v>
      </c>
    </row>
    <row r="18" spans="2:15" x14ac:dyDescent="0.25">
      <c r="B18" s="14">
        <v>7</v>
      </c>
      <c r="C18" s="15" t="e">
        <f>données!C36</f>
        <v>#DIV/0!</v>
      </c>
      <c r="D18" s="25">
        <f>$B$3</f>
        <v>0</v>
      </c>
      <c r="E18" s="15" t="e">
        <f t="shared" ref="E18:E28" si="8">C18*D18</f>
        <v>#DIV/0!</v>
      </c>
      <c r="F18" s="15">
        <f>données!J36</f>
        <v>0</v>
      </c>
      <c r="G18" s="15" t="e">
        <f t="shared" si="0"/>
        <v>#DIV/0!</v>
      </c>
      <c r="H18" s="7" t="e">
        <f t="shared" si="1"/>
        <v>#DIV/0!</v>
      </c>
      <c r="I18" s="30">
        <f>données!M36</f>
        <v>0</v>
      </c>
      <c r="J18" s="7" t="e">
        <f t="shared" si="7"/>
        <v>#DIV/0!</v>
      </c>
      <c r="K18" s="132"/>
      <c r="L18" s="131"/>
      <c r="M18" s="14"/>
      <c r="N18" s="3"/>
      <c r="O18" s="3"/>
    </row>
    <row r="19" spans="2:15" x14ac:dyDescent="0.25">
      <c r="B19" s="14">
        <v>8</v>
      </c>
      <c r="C19" s="15" t="e">
        <f>données!C37</f>
        <v>#DIV/0!</v>
      </c>
      <c r="D19" s="25">
        <f>$B$3</f>
        <v>0</v>
      </c>
      <c r="E19" s="15" t="e">
        <f t="shared" si="8"/>
        <v>#DIV/0!</v>
      </c>
      <c r="F19" s="15" t="e">
        <f>données!J37</f>
        <v>#DIV/0!</v>
      </c>
      <c r="G19" s="15" t="e">
        <f t="shared" si="0"/>
        <v>#DIV/0!</v>
      </c>
      <c r="H19" s="7" t="e">
        <f t="shared" si="1"/>
        <v>#DIV/0!</v>
      </c>
      <c r="I19" s="30"/>
      <c r="J19" s="6" t="e">
        <f>B$3*données!I$3^3*((données!D$3+SIN(données!D$3)*COS(données!D$3))/2-SIN(données!D$3)^2/données!D$3)+E19*H19^2</f>
        <v>#DIV/0!</v>
      </c>
      <c r="K19" s="132"/>
      <c r="L19" s="131"/>
      <c r="M19" s="14">
        <v>8</v>
      </c>
      <c r="N19" s="3">
        <f t="shared" si="3"/>
        <v>0</v>
      </c>
      <c r="O19" s="3" t="e">
        <f t="shared" si="3"/>
        <v>#DIV/0!</v>
      </c>
    </row>
    <row r="20" spans="2:15" x14ac:dyDescent="0.25">
      <c r="B20" s="14">
        <v>9</v>
      </c>
      <c r="C20" s="15" t="e">
        <f>données!C38</f>
        <v>#DIV/0!</v>
      </c>
      <c r="D20" s="25">
        <f>$B$3</f>
        <v>0</v>
      </c>
      <c r="E20" s="15" t="e">
        <f t="shared" si="8"/>
        <v>#DIV/0!</v>
      </c>
      <c r="F20" s="15">
        <f>données!J38</f>
        <v>0</v>
      </c>
      <c r="G20" s="15" t="e">
        <f t="shared" si="0"/>
        <v>#DIV/0!</v>
      </c>
      <c r="H20" s="7" t="e">
        <f t="shared" si="1"/>
        <v>#DIV/0!</v>
      </c>
      <c r="I20" s="30" t="e">
        <f>données!M38</f>
        <v>#DIV/0!</v>
      </c>
      <c r="J20" s="7" t="e">
        <f t="shared" si="7"/>
        <v>#DIV/0!</v>
      </c>
      <c r="K20" s="132"/>
      <c r="L20" s="131"/>
      <c r="M20" s="14">
        <v>9</v>
      </c>
      <c r="N20" s="3" t="e">
        <f t="shared" si="3"/>
        <v>#DIV/0!</v>
      </c>
      <c r="O20" s="3" t="e">
        <f t="shared" si="3"/>
        <v>#DIV/0!</v>
      </c>
    </row>
    <row r="21" spans="2:15" x14ac:dyDescent="0.25">
      <c r="B21" s="14" t="s">
        <v>151</v>
      </c>
      <c r="C21" s="22">
        <f>-data!L14</f>
        <v>0</v>
      </c>
      <c r="D21" s="129">
        <f>B3</f>
        <v>0</v>
      </c>
      <c r="E21" s="15">
        <f t="shared" si="8"/>
        <v>0</v>
      </c>
      <c r="F21" s="15">
        <f>data!N14</f>
        <v>0</v>
      </c>
      <c r="G21" s="15">
        <f t="shared" si="0"/>
        <v>0</v>
      </c>
      <c r="H21" s="7" t="e">
        <f t="shared" si="1"/>
        <v>#DIV/0!</v>
      </c>
      <c r="I21" s="138" t="e">
        <f>-C21*SIN(données!$B$3)</f>
        <v>#DIV/0!</v>
      </c>
      <c r="J21" s="7" t="e">
        <f>E21*I21^2/12+E21*H21^2</f>
        <v>#DIV/0!</v>
      </c>
      <c r="K21" s="132"/>
      <c r="L21" s="131"/>
      <c r="M21" s="14"/>
      <c r="N21" s="3"/>
      <c r="O21" s="3"/>
    </row>
    <row r="22" spans="2:15" x14ac:dyDescent="0.25">
      <c r="B22" s="14" t="s">
        <v>151</v>
      </c>
      <c r="C22" s="22">
        <f>data!L14</f>
        <v>0</v>
      </c>
      <c r="D22" s="129" t="e">
        <f>B$3*data!K$14</f>
        <v>#VALUE!</v>
      </c>
      <c r="E22" s="15" t="e">
        <f t="shared" si="8"/>
        <v>#VALUE!</v>
      </c>
      <c r="F22" s="15">
        <f>data!N14</f>
        <v>0</v>
      </c>
      <c r="G22" s="15" t="e">
        <f t="shared" si="0"/>
        <v>#VALUE!</v>
      </c>
      <c r="H22" s="7" t="e">
        <f t="shared" si="1"/>
        <v>#DIV/0!</v>
      </c>
      <c r="I22" s="138" t="e">
        <f>C22*SIN(données!$B$3)</f>
        <v>#DIV/0!</v>
      </c>
      <c r="J22" s="7" t="e">
        <f>E22*I22^2/12+E22*H22^2</f>
        <v>#VALUE!</v>
      </c>
      <c r="K22" s="132"/>
      <c r="L22" s="131"/>
      <c r="M22" s="14"/>
      <c r="N22" s="3"/>
      <c r="O22" s="3"/>
    </row>
    <row r="23" spans="2:15" x14ac:dyDescent="0.25">
      <c r="B23" s="14" t="s">
        <v>151</v>
      </c>
      <c r="C23" s="22">
        <f>-data!M14</f>
        <v>0</v>
      </c>
      <c r="D23" s="129">
        <f>B3</f>
        <v>0</v>
      </c>
      <c r="E23" s="15">
        <f t="shared" si="8"/>
        <v>0</v>
      </c>
      <c r="F23" s="15">
        <f>data!O14</f>
        <v>0</v>
      </c>
      <c r="G23" s="15">
        <f t="shared" si="0"/>
        <v>0</v>
      </c>
      <c r="H23" s="7" t="e">
        <f t="shared" si="1"/>
        <v>#DIV/0!</v>
      </c>
      <c r="I23" s="138" t="e">
        <f>-C23*SIN(données!$B$3)</f>
        <v>#DIV/0!</v>
      </c>
      <c r="J23" s="7" t="e">
        <f>E23*I23^2/12+E23*H23^2</f>
        <v>#DIV/0!</v>
      </c>
      <c r="K23" s="132"/>
      <c r="L23" s="131"/>
      <c r="M23" s="14"/>
      <c r="N23" s="3"/>
      <c r="O23" s="3"/>
    </row>
    <row r="24" spans="2:15" x14ac:dyDescent="0.25">
      <c r="B24" s="14" t="s">
        <v>151</v>
      </c>
      <c r="C24" s="22">
        <f>data!M14</f>
        <v>0</v>
      </c>
      <c r="D24" s="129" t="e">
        <f>B$3*data!K$14</f>
        <v>#VALUE!</v>
      </c>
      <c r="E24" s="15" t="e">
        <f t="shared" si="8"/>
        <v>#VALUE!</v>
      </c>
      <c r="F24" s="15">
        <f>data!O14</f>
        <v>0</v>
      </c>
      <c r="G24" s="15" t="e">
        <f t="shared" si="0"/>
        <v>#VALUE!</v>
      </c>
      <c r="H24" s="7" t="e">
        <f t="shared" si="1"/>
        <v>#DIV/0!</v>
      </c>
      <c r="I24" s="138" t="e">
        <f>C24*SIN(données!$B$3)</f>
        <v>#DIV/0!</v>
      </c>
      <c r="J24" s="7" t="e">
        <f>E24*I24^2/12+E24*H24^2</f>
        <v>#VALUE!</v>
      </c>
      <c r="K24" s="132"/>
      <c r="L24" s="131"/>
      <c r="M24" s="14"/>
      <c r="N24" s="3"/>
      <c r="O24" s="3"/>
    </row>
    <row r="25" spans="2:15" x14ac:dyDescent="0.25">
      <c r="B25" s="14">
        <v>10</v>
      </c>
      <c r="C25" s="22" t="e">
        <f>données!C39</f>
        <v>#DIV/0!</v>
      </c>
      <c r="D25" s="25">
        <f t="shared" ref="D25:D27" si="9">$B$3</f>
        <v>0</v>
      </c>
      <c r="E25" s="15" t="e">
        <f t="shared" si="8"/>
        <v>#DIV/0!</v>
      </c>
      <c r="F25" s="15" t="e">
        <f>données!J39</f>
        <v>#DIV/0!</v>
      </c>
      <c r="G25" s="15" t="e">
        <f t="shared" si="0"/>
        <v>#DIV/0!</v>
      </c>
      <c r="H25" s="7" t="e">
        <f t="shared" si="1"/>
        <v>#DIV/0!</v>
      </c>
      <c r="I25" s="30"/>
      <c r="J25" s="6" t="e">
        <f>B$3*données!I$3^3*((données!L$17+SIN(données!L$17)*COS(données!L$17))/2-SIN(données!L$17)^2/données!L$17)+E25*H25^2</f>
        <v>#DIV/0!</v>
      </c>
      <c r="K25" s="132"/>
      <c r="L25" s="131"/>
      <c r="M25" s="14">
        <v>10</v>
      </c>
      <c r="N25" s="3">
        <f t="shared" si="3"/>
        <v>0</v>
      </c>
      <c r="O25" s="3" t="e">
        <f t="shared" si="3"/>
        <v>#DIV/0!</v>
      </c>
    </row>
    <row r="26" spans="2:15" x14ac:dyDescent="0.25">
      <c r="B26" s="14">
        <v>11</v>
      </c>
      <c r="C26" s="22" t="e">
        <f>données!C40</f>
        <v>#DIV/0!</v>
      </c>
      <c r="D26" s="25">
        <f t="shared" si="9"/>
        <v>0</v>
      </c>
      <c r="E26" s="15" t="e">
        <f t="shared" si="8"/>
        <v>#DIV/0!</v>
      </c>
      <c r="F26" s="15">
        <f>données!J40</f>
        <v>0</v>
      </c>
      <c r="G26" s="15" t="e">
        <f t="shared" si="0"/>
        <v>#DIV/0!</v>
      </c>
      <c r="H26" s="7" t="e">
        <f t="shared" si="1"/>
        <v>#DIV/0!</v>
      </c>
      <c r="I26" s="30" t="e">
        <f>données!M40</f>
        <v>#DIV/0!</v>
      </c>
      <c r="J26" s="7" t="e">
        <f t="shared" si="7"/>
        <v>#DIV/0!</v>
      </c>
      <c r="K26" s="132"/>
      <c r="L26" s="131"/>
      <c r="M26" s="14">
        <v>11</v>
      </c>
      <c r="N26" s="3" t="e">
        <f t="shared" si="3"/>
        <v>#DIV/0!</v>
      </c>
      <c r="O26" s="3" t="e">
        <f t="shared" si="3"/>
        <v>#DIV/0!</v>
      </c>
    </row>
    <row r="27" spans="2:15" x14ac:dyDescent="0.25">
      <c r="B27" s="14">
        <v>12</v>
      </c>
      <c r="C27" s="22" t="e">
        <f>données!C41</f>
        <v>#DIV/0!</v>
      </c>
      <c r="D27" s="25">
        <f t="shared" si="9"/>
        <v>0</v>
      </c>
      <c r="E27" s="15" t="e">
        <f t="shared" si="8"/>
        <v>#DIV/0!</v>
      </c>
      <c r="F27" s="15" t="e">
        <f>données!J41</f>
        <v>#DIV/0!</v>
      </c>
      <c r="G27" s="15" t="e">
        <f t="shared" si="0"/>
        <v>#DIV/0!</v>
      </c>
      <c r="H27" s="7" t="e">
        <f t="shared" si="1"/>
        <v>#DIV/0!</v>
      </c>
      <c r="I27" s="30"/>
      <c r="J27" s="6" t="e">
        <f>B$3*données!I$3^3*((données!D$3+SIN(données!D$3)*COS(données!D$3))/2-SIN(données!D$3)^2/données!D$3)+E27*H27^2</f>
        <v>#DIV/0!</v>
      </c>
      <c r="K27" s="132"/>
      <c r="L27" s="131"/>
      <c r="M27" s="14">
        <v>12</v>
      </c>
      <c r="N27" s="3">
        <f t="shared" si="3"/>
        <v>0</v>
      </c>
      <c r="O27" s="3" t="e">
        <f t="shared" si="3"/>
        <v>#DIV/0!</v>
      </c>
    </row>
    <row r="28" spans="2:15" x14ac:dyDescent="0.25">
      <c r="B28" s="14">
        <v>13</v>
      </c>
      <c r="C28" s="22" t="e">
        <f>données!C42</f>
        <v>#DIV/0!</v>
      </c>
      <c r="D28" s="25">
        <f t="shared" ref="D28" si="10">$B$3</f>
        <v>0</v>
      </c>
      <c r="E28" s="15" t="e">
        <f t="shared" si="8"/>
        <v>#DIV/0!</v>
      </c>
      <c r="F28" s="15">
        <f>données!J42</f>
        <v>0</v>
      </c>
      <c r="G28" s="15" t="e">
        <f t="shared" si="0"/>
        <v>#DIV/0!</v>
      </c>
      <c r="H28" s="7" t="e">
        <f t="shared" si="1"/>
        <v>#DIV/0!</v>
      </c>
      <c r="I28" s="30">
        <f>données!M42</f>
        <v>0</v>
      </c>
      <c r="J28" s="7" t="e">
        <f t="shared" si="7"/>
        <v>#DIV/0!</v>
      </c>
      <c r="K28" s="132"/>
      <c r="L28" s="131"/>
      <c r="M28" s="14"/>
      <c r="N28" s="3"/>
      <c r="O28" s="3"/>
    </row>
    <row r="29" spans="2:15" x14ac:dyDescent="0.25">
      <c r="B29" s="14"/>
      <c r="C29" s="22"/>
      <c r="D29" s="25"/>
      <c r="E29" s="15"/>
      <c r="F29" s="15"/>
      <c r="G29" s="15"/>
      <c r="H29" s="7"/>
      <c r="I29" s="30"/>
      <c r="J29" s="6"/>
      <c r="K29" s="8"/>
      <c r="M29" s="14"/>
      <c r="N29" s="3"/>
      <c r="O29" s="3"/>
    </row>
    <row r="30" spans="2:15" x14ac:dyDescent="0.25">
      <c r="B30" s="14"/>
      <c r="C30" s="22"/>
      <c r="D30" s="25"/>
      <c r="E30" s="15"/>
      <c r="F30" s="15"/>
      <c r="G30" s="15"/>
      <c r="H30" s="7"/>
      <c r="I30" s="30"/>
      <c r="J30" s="7"/>
      <c r="K30" s="8"/>
      <c r="M30" s="14"/>
      <c r="N30" s="3"/>
      <c r="O30" s="3"/>
    </row>
    <row r="31" spans="2:15" x14ac:dyDescent="0.25">
      <c r="B31" s="14" t="s">
        <v>6</v>
      </c>
      <c r="C31" s="8"/>
      <c r="D31" s="8"/>
      <c r="E31" s="26" t="e">
        <f>SUM(E11:E30)</f>
        <v>#DIV/0!</v>
      </c>
      <c r="F31" s="8"/>
      <c r="G31" s="26" t="e">
        <f>SUM(G11:G30)</f>
        <v>#DIV/0!</v>
      </c>
      <c r="H31" s="26" t="e">
        <f>G31/E31</f>
        <v>#DIV/0!</v>
      </c>
      <c r="I31" s="8"/>
      <c r="J31" s="13" t="e">
        <f>SUM(J11:J30)</f>
        <v>#DIV/0!</v>
      </c>
      <c r="K31" s="8" t="s">
        <v>93</v>
      </c>
      <c r="M31" s="14" t="s">
        <v>6</v>
      </c>
      <c r="N31" s="1"/>
      <c r="O31" s="3" t="e">
        <f t="shared" si="3"/>
        <v>#DIV/0!</v>
      </c>
    </row>
    <row r="32" spans="2:15" x14ac:dyDescent="0.25">
      <c r="B32" s="8"/>
      <c r="C32" s="8"/>
      <c r="D32" s="8"/>
      <c r="E32" s="8"/>
      <c r="F32" s="8"/>
      <c r="G32" s="8"/>
      <c r="H32" s="10" t="e">
        <f>données!N3-'résistance_section (2)'!H31</f>
        <v>#DIV/0!</v>
      </c>
      <c r="I32" s="8"/>
      <c r="J32" s="8" t="e">
        <f>J31*2</f>
        <v>#DIV/0!</v>
      </c>
      <c r="K32" s="8" t="s">
        <v>95</v>
      </c>
      <c r="O32" s="34" t="e">
        <f t="shared" ref="O32" si="11">J32</f>
        <v>#DIV/0!</v>
      </c>
    </row>
    <row r="33" spans="2:11" x14ac:dyDescent="0.25">
      <c r="B33" s="8" t="s">
        <v>55</v>
      </c>
      <c r="C33" s="8" t="e">
        <f>J31/MAX(H31,H32)</f>
        <v>#DIV/0!</v>
      </c>
      <c r="D33" s="8" t="s">
        <v>93</v>
      </c>
      <c r="E33" s="8"/>
      <c r="F33" s="8"/>
      <c r="G33" s="8"/>
      <c r="H33" s="8"/>
      <c r="I33" s="8"/>
      <c r="J33" s="8" t="e">
        <f>J32/données!M3</f>
        <v>#DIV/0!</v>
      </c>
      <c r="K33" s="8"/>
    </row>
    <row r="34" spans="2:11" x14ac:dyDescent="0.25">
      <c r="B34" s="8" t="s">
        <v>55</v>
      </c>
      <c r="C34" s="8" t="e">
        <f>2*C33</f>
        <v>#DIV/0!</v>
      </c>
      <c r="D34" s="8" t="s">
        <v>95</v>
      </c>
      <c r="E34" s="8"/>
      <c r="F34" s="8"/>
      <c r="G34" s="8"/>
      <c r="H34" s="8"/>
      <c r="I34" s="8"/>
      <c r="J34" s="8"/>
      <c r="K34" s="8"/>
    </row>
    <row r="35" spans="2:11" x14ac:dyDescent="0.25">
      <c r="B35" s="8" t="s">
        <v>55</v>
      </c>
      <c r="C35" s="8" t="e">
        <f>C34/données!M3</f>
        <v>#DIV/0!</v>
      </c>
      <c r="D35" s="8" t="s">
        <v>96</v>
      </c>
      <c r="E35" s="8"/>
      <c r="F35" s="8"/>
      <c r="G35" s="8"/>
      <c r="H35" s="8"/>
      <c r="I35" s="8"/>
      <c r="J35" s="8"/>
      <c r="K35" s="8"/>
    </row>
    <row r="36" spans="2:11" x14ac:dyDescent="0.25"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2:11" x14ac:dyDescent="0.25">
      <c r="B37" s="8" t="s">
        <v>14</v>
      </c>
      <c r="C37" s="8" t="s">
        <v>14</v>
      </c>
      <c r="D37" s="8"/>
      <c r="E37" s="8"/>
      <c r="F37" s="8"/>
      <c r="G37" s="8"/>
      <c r="H37" s="8"/>
      <c r="I37" s="8"/>
      <c r="J37" s="8"/>
      <c r="K37" s="8"/>
    </row>
    <row r="38" spans="2:11" x14ac:dyDescent="0.25">
      <c r="B38" s="31" t="e">
        <f>D3*C35*1</f>
        <v>#DIV/0!</v>
      </c>
      <c r="C38" s="33" t="s">
        <v>97</v>
      </c>
      <c r="D38" s="8"/>
      <c r="E38" s="8"/>
      <c r="F38" s="8"/>
      <c r="G38" s="8"/>
      <c r="H38" s="8"/>
      <c r="I38" s="8"/>
      <c r="J38" s="8"/>
      <c r="K38" s="8"/>
    </row>
    <row r="39" spans="2:11" x14ac:dyDescent="0.25">
      <c r="B39" s="61" t="e">
        <f>B38/1000</f>
        <v>#DIV/0!</v>
      </c>
      <c r="C39" t="s">
        <v>98</v>
      </c>
      <c r="D39" t="e">
        <f>(5.03-B39)/5.03</f>
        <v>#DIV/0!</v>
      </c>
    </row>
    <row r="40" spans="2:11" x14ac:dyDescent="0.25">
      <c r="B40" s="32"/>
    </row>
    <row r="41" spans="2:11" x14ac:dyDescent="0.25">
      <c r="B41" s="32"/>
    </row>
    <row r="42" spans="2:11" x14ac:dyDescent="0.25">
      <c r="B42" s="32"/>
    </row>
    <row r="43" spans="2:11" x14ac:dyDescent="0.25">
      <c r="B43" s="2" t="s">
        <v>16</v>
      </c>
      <c r="C43" s="2" t="s">
        <v>34</v>
      </c>
      <c r="D43" s="2" t="s">
        <v>7</v>
      </c>
    </row>
    <row r="44" spans="2:11" x14ac:dyDescent="0.25">
      <c r="B44" s="2">
        <v>1</v>
      </c>
      <c r="C44" s="2">
        <v>0</v>
      </c>
      <c r="D44" s="2">
        <f>D46</f>
        <v>112</v>
      </c>
    </row>
    <row r="45" spans="2:11" x14ac:dyDescent="0.25">
      <c r="B45" s="2">
        <v>2</v>
      </c>
      <c r="C45" s="7">
        <f>C46-largeur_eff_semelle!O10</f>
        <v>15</v>
      </c>
      <c r="D45" s="2">
        <f>D46</f>
        <v>112</v>
      </c>
    </row>
    <row r="46" spans="2:11" x14ac:dyDescent="0.25">
      <c r="B46" s="2">
        <v>3</v>
      </c>
      <c r="C46" s="2">
        <f>C44+30/2</f>
        <v>15</v>
      </c>
      <c r="D46" s="2">
        <f>D48</f>
        <v>112</v>
      </c>
    </row>
    <row r="47" spans="2:11" x14ac:dyDescent="0.25">
      <c r="B47" s="2">
        <v>4</v>
      </c>
      <c r="C47" s="2">
        <f>C46+7</f>
        <v>22</v>
      </c>
      <c r="D47" s="2">
        <f>D48-7</f>
        <v>105</v>
      </c>
    </row>
    <row r="48" spans="2:11" x14ac:dyDescent="0.25">
      <c r="B48" s="2">
        <v>5</v>
      </c>
      <c r="C48" s="2">
        <f>C47+7</f>
        <v>29</v>
      </c>
      <c r="D48" s="2">
        <f>D49</f>
        <v>112</v>
      </c>
    </row>
    <row r="49" spans="2:4" x14ac:dyDescent="0.25">
      <c r="B49" s="2">
        <v>6</v>
      </c>
      <c r="C49" s="7" t="e">
        <f>C48+largeur_eff_semelle!O5</f>
        <v>#DIV/0!</v>
      </c>
      <c r="D49" s="2">
        <f>D54+30</f>
        <v>112</v>
      </c>
    </row>
    <row r="50" spans="2:4" x14ac:dyDescent="0.25">
      <c r="B50" s="2">
        <v>7</v>
      </c>
      <c r="C50" s="7" t="e">
        <f>C48+données!E9-largeur_eff_semelle!O5</f>
        <v>#DIV/0!</v>
      </c>
      <c r="D50" s="2">
        <f>D54+30</f>
        <v>112</v>
      </c>
    </row>
    <row r="51" spans="2:4" x14ac:dyDescent="0.25">
      <c r="B51" s="2">
        <v>8</v>
      </c>
      <c r="C51" s="7">
        <f>C48+données!E9</f>
        <v>29</v>
      </c>
      <c r="D51" s="2">
        <f>D54+30</f>
        <v>112</v>
      </c>
    </row>
    <row r="52" spans="2:4" x14ac:dyDescent="0.25">
      <c r="B52" s="2">
        <v>9</v>
      </c>
      <c r="C52" s="7" t="e">
        <f>C51+COS(données!D3)*largeur_eff_ame!C6</f>
        <v>#DIV/0!</v>
      </c>
      <c r="D52" s="7" t="e">
        <f>D51+SIN('résistance_section (2)'!D3)*largeur_eff_ame!C6</f>
        <v>#DIV/0!</v>
      </c>
    </row>
    <row r="53" spans="2:4" x14ac:dyDescent="0.25">
      <c r="B53" s="2">
        <v>10</v>
      </c>
      <c r="C53" s="7" t="e">
        <f>C54-COS(données!D3)*largeur_eff_ame!C24</f>
        <v>#DIV/0!</v>
      </c>
      <c r="D53" s="7" t="e">
        <f>D54+SIN(données!D3)*largeur_eff_ame!C24</f>
        <v>#DIV/0!</v>
      </c>
    </row>
    <row r="54" spans="2:4" x14ac:dyDescent="0.25">
      <c r="B54" s="2">
        <v>11</v>
      </c>
      <c r="C54" s="7">
        <f>C51+4</f>
        <v>33</v>
      </c>
      <c r="D54" s="7">
        <f>D55+7</f>
        <v>82</v>
      </c>
    </row>
    <row r="55" spans="2:4" x14ac:dyDescent="0.25">
      <c r="B55" s="2">
        <v>12</v>
      </c>
      <c r="C55" s="7">
        <f>C54+10</f>
        <v>43</v>
      </c>
      <c r="D55" s="7">
        <v>75</v>
      </c>
    </row>
    <row r="56" spans="2:4" x14ac:dyDescent="0.25">
      <c r="B56" s="2">
        <v>13</v>
      </c>
      <c r="C56" s="7" t="e">
        <f>C55+COS(données!D3)*largeur_eff_ame!G27</f>
        <v>#DIV/0!</v>
      </c>
      <c r="D56" s="7" t="e">
        <f>D55-SIN(données!D3)*largeur_eff_ame!G27</f>
        <v>#DIV/0!</v>
      </c>
    </row>
    <row r="57" spans="2:4" x14ac:dyDescent="0.25">
      <c r="B57" s="2">
        <v>14</v>
      </c>
      <c r="C57" s="7" t="e">
        <f>C55+COS(données!D3)*(largeur_eff_ame!E27-largeur_eff_ame!H24)</f>
        <v>#DIV/0!</v>
      </c>
      <c r="D57" s="7" t="e">
        <f>D55-SIN(données!D3)*(largeur_eff_ame!E27-largeur_eff_ame!H24)</f>
        <v>#DIV/0!</v>
      </c>
    </row>
    <row r="58" spans="2:4" x14ac:dyDescent="0.25">
      <c r="B58" s="2">
        <v>15</v>
      </c>
      <c r="C58" s="7" t="e">
        <f>C55+COS(données!D3)*largeur_eff_ame!E27</f>
        <v>#DIV/0!</v>
      </c>
      <c r="D58" s="7" t="e">
        <f>D55-SIN(données!D3)*largeur_eff_ame!E27</f>
        <v>#DIV/0!</v>
      </c>
    </row>
    <row r="59" spans="2:4" x14ac:dyDescent="0.25">
      <c r="B59" s="2">
        <v>14</v>
      </c>
      <c r="C59" s="2">
        <f>C55+10</f>
        <v>53</v>
      </c>
      <c r="D59" s="2">
        <v>0</v>
      </c>
    </row>
    <row r="60" spans="2:4" x14ac:dyDescent="0.25">
      <c r="B60" s="2">
        <v>15</v>
      </c>
      <c r="C60" s="2">
        <f>C59+36</f>
        <v>89</v>
      </c>
      <c r="D60" s="2">
        <v>0</v>
      </c>
    </row>
    <row r="61" spans="2:4" x14ac:dyDescent="0.25">
      <c r="B61" s="2">
        <v>16</v>
      </c>
      <c r="C61" s="2">
        <f>C60+8</f>
        <v>97</v>
      </c>
      <c r="D61" s="2">
        <v>7</v>
      </c>
    </row>
  </sheetData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"/>
  <sheetViews>
    <sheetView workbookViewId="0">
      <selection activeCell="J5" sqref="J5"/>
    </sheetView>
  </sheetViews>
  <sheetFormatPr baseColWidth="10" defaultRowHeight="15" x14ac:dyDescent="0.25"/>
  <cols>
    <col min="2" max="2" width="5.42578125" bestFit="1" customWidth="1"/>
    <col min="3" max="3" width="4.42578125" bestFit="1" customWidth="1"/>
    <col min="4" max="4" width="11.28515625" bestFit="1" customWidth="1"/>
    <col min="5" max="5" width="10.28515625" bestFit="1" customWidth="1"/>
    <col min="6" max="6" width="4.42578125" bestFit="1" customWidth="1"/>
    <col min="7" max="7" width="6.85546875" customWidth="1"/>
    <col min="8" max="8" width="4.42578125" customWidth="1"/>
    <col min="9" max="9" width="5.42578125" bestFit="1" customWidth="1"/>
    <col min="10" max="10" width="7.140625" customWidth="1"/>
    <col min="11" max="11" width="5.42578125" customWidth="1"/>
    <col min="12" max="12" width="7.7109375" customWidth="1"/>
    <col min="13" max="13" width="5.42578125" bestFit="1" customWidth="1"/>
    <col min="14" max="14" width="7.85546875" bestFit="1" customWidth="1"/>
    <col min="15" max="15" width="8.42578125" bestFit="1" customWidth="1"/>
  </cols>
  <sheetData>
    <row r="2" spans="2:15" x14ac:dyDescent="0.25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2:15" x14ac:dyDescent="0.2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2:15" ht="16.5" x14ac:dyDescent="0.3">
      <c r="B4" s="2" t="s">
        <v>22</v>
      </c>
      <c r="C4" s="2" t="s">
        <v>0</v>
      </c>
      <c r="D4" s="2" t="s">
        <v>21</v>
      </c>
      <c r="E4" s="2" t="s">
        <v>2</v>
      </c>
      <c r="F4" s="2" t="s">
        <v>1</v>
      </c>
      <c r="G4" s="47" t="s">
        <v>79</v>
      </c>
      <c r="H4" s="44" t="s">
        <v>75</v>
      </c>
      <c r="I4" s="2" t="s">
        <v>23</v>
      </c>
      <c r="J4" s="45" t="s">
        <v>77</v>
      </c>
      <c r="K4" s="46" t="s">
        <v>78</v>
      </c>
      <c r="L4" s="2" t="s">
        <v>76</v>
      </c>
      <c r="M4" s="2" t="s">
        <v>3</v>
      </c>
      <c r="N4" s="11" t="s">
        <v>24</v>
      </c>
      <c r="O4" s="11" t="s">
        <v>4</v>
      </c>
    </row>
    <row r="5" spans="2:15" x14ac:dyDescent="0.25">
      <c r="B5" s="7" t="e">
        <f>largeur_eff_semelle!B$5</f>
        <v>#DIV/0!</v>
      </c>
      <c r="C5" s="7">
        <f>données!E3</f>
        <v>0</v>
      </c>
      <c r="D5" s="42">
        <f>données!G3</f>
        <v>0</v>
      </c>
      <c r="E5" s="7">
        <f>données!H3</f>
        <v>0</v>
      </c>
      <c r="F5" s="7">
        <v>4</v>
      </c>
      <c r="G5" s="7">
        <v>1</v>
      </c>
      <c r="H5" s="7" t="e">
        <f>(235/D5)^0.5</f>
        <v>#DIV/0!</v>
      </c>
      <c r="I5" s="12" t="e">
        <f>B5/C5/28.4/H5/(F5)^0.5</f>
        <v>#DIV/0!</v>
      </c>
      <c r="J5" s="96" t="e">
        <f>MIN(D5,D5*(données!$J$30-'résistance_section (2)'!$H$31)/'résistance_section (2)'!$H$31)</f>
        <v>#DIV/0!</v>
      </c>
      <c r="K5" s="12">
        <v>1</v>
      </c>
      <c r="L5" s="12" t="e">
        <f>I5*SQRT(J5/D5/K5)</f>
        <v>#DIV/0!</v>
      </c>
      <c r="M5" s="12" t="e">
        <f>IF(L5&gt;0.673,(L5-0.055*(3+G5))/L5^2,1)</f>
        <v>#DIV/0!</v>
      </c>
      <c r="N5" s="7" t="e">
        <f>M5*B5</f>
        <v>#DIV/0!</v>
      </c>
      <c r="O5" s="86" t="e">
        <f>N5/2</f>
        <v>#DIV/0!</v>
      </c>
    </row>
    <row r="6" spans="2:15" x14ac:dyDescent="0.25">
      <c r="B6" s="8"/>
      <c r="C6" s="8"/>
      <c r="D6" s="43"/>
      <c r="E6" s="8"/>
      <c r="F6" s="8"/>
      <c r="G6" s="8"/>
      <c r="H6" s="8"/>
      <c r="I6" s="8"/>
      <c r="J6" s="33"/>
      <c r="K6" s="8"/>
      <c r="L6" s="8"/>
      <c r="M6" s="8"/>
      <c r="N6" s="8"/>
      <c r="O6" s="8"/>
    </row>
    <row r="7" spans="2:15" x14ac:dyDescent="0.25">
      <c r="B7" s="8"/>
      <c r="C7" s="8"/>
      <c r="D7" s="43"/>
      <c r="E7" s="8"/>
      <c r="F7" s="8"/>
      <c r="G7" s="8"/>
      <c r="H7" s="8"/>
      <c r="I7" s="8"/>
      <c r="J7" s="33"/>
      <c r="K7" s="8"/>
      <c r="L7" s="8"/>
      <c r="M7" s="8"/>
      <c r="N7" s="8"/>
      <c r="O7" s="8"/>
    </row>
    <row r="8" spans="2:15" x14ac:dyDescent="0.25">
      <c r="B8" s="8"/>
      <c r="C8" s="8"/>
      <c r="D8" s="43"/>
      <c r="E8" s="8"/>
      <c r="F8" s="8"/>
      <c r="G8" s="8"/>
      <c r="H8" s="8"/>
      <c r="I8" s="8"/>
      <c r="J8" s="33"/>
      <c r="K8" s="8"/>
      <c r="L8" s="8"/>
      <c r="M8" s="8"/>
      <c r="N8" s="8"/>
      <c r="O8" s="8"/>
    </row>
    <row r="9" spans="2:15" x14ac:dyDescent="0.25">
      <c r="B9" s="2"/>
      <c r="C9" s="2"/>
      <c r="D9" s="11"/>
      <c r="E9" s="2"/>
      <c r="F9" s="2"/>
      <c r="G9" s="47"/>
      <c r="H9" s="44"/>
      <c r="I9" s="2"/>
      <c r="J9" s="45"/>
      <c r="K9" s="46"/>
      <c r="L9" s="2"/>
      <c r="M9" s="2"/>
      <c r="N9" s="11"/>
      <c r="O9" s="11"/>
    </row>
    <row r="10" spans="2:15" x14ac:dyDescent="0.25">
      <c r="B10" s="13"/>
      <c r="C10" s="7"/>
      <c r="D10" s="42"/>
      <c r="E10" s="7"/>
      <c r="F10" s="7"/>
      <c r="G10" s="7"/>
      <c r="H10" s="7"/>
      <c r="I10" s="12"/>
      <c r="J10" s="96"/>
      <c r="K10" s="12"/>
      <c r="L10" s="12"/>
      <c r="M10" s="12"/>
      <c r="N10" s="7"/>
      <c r="O10" s="86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2"/>
  <sheetViews>
    <sheetView workbookViewId="0">
      <selection activeCell="C14" sqref="C14"/>
    </sheetView>
  </sheetViews>
  <sheetFormatPr baseColWidth="10" defaultRowHeight="15" x14ac:dyDescent="0.25"/>
  <cols>
    <col min="2" max="2" width="11.42578125" bestFit="1" customWidth="1"/>
    <col min="3" max="3" width="7.7109375" bestFit="1" customWidth="1"/>
    <col min="4" max="4" width="8.28515625" bestFit="1" customWidth="1"/>
    <col min="5" max="5" width="10.7109375" customWidth="1"/>
    <col min="6" max="6" width="8.42578125" customWidth="1"/>
    <col min="7" max="7" width="10.28515625" bestFit="1" customWidth="1"/>
    <col min="8" max="8" width="7.42578125" bestFit="1" customWidth="1"/>
    <col min="11" max="11" width="14.85546875" bestFit="1" customWidth="1"/>
    <col min="12" max="12" width="17" customWidth="1"/>
    <col min="13" max="13" width="17" bestFit="1" customWidth="1"/>
    <col min="14" max="15" width="14.85546875" bestFit="1" customWidth="1"/>
    <col min="16" max="16" width="16.140625" bestFit="1" customWidth="1"/>
    <col min="17" max="17" width="17" bestFit="1" customWidth="1"/>
    <col min="18" max="18" width="14.85546875" bestFit="1" customWidth="1"/>
  </cols>
  <sheetData>
    <row r="2" spans="1:18" ht="16.5" x14ac:dyDescent="0.3">
      <c r="B2" s="2" t="s">
        <v>25</v>
      </c>
      <c r="C2" s="2" t="s">
        <v>22</v>
      </c>
      <c r="D2" s="2" t="s">
        <v>0</v>
      </c>
      <c r="E2" s="2" t="s">
        <v>2</v>
      </c>
      <c r="F2" s="11" t="s">
        <v>8</v>
      </c>
      <c r="G2" s="8"/>
      <c r="H2" s="8"/>
      <c r="I2" s="8"/>
      <c r="J2" s="8"/>
    </row>
    <row r="3" spans="1:18" x14ac:dyDescent="0.25">
      <c r="B3" s="7">
        <f>raidisseur!B3</f>
        <v>0</v>
      </c>
      <c r="C3" s="7" t="e">
        <f>raidisseur!C3</f>
        <v>#DIV/0!</v>
      </c>
      <c r="D3" s="2">
        <f>données!E3</f>
        <v>0</v>
      </c>
      <c r="E3" s="7">
        <f>données!H3</f>
        <v>0</v>
      </c>
      <c r="F3" s="13">
        <f>données!D8</f>
        <v>0</v>
      </c>
      <c r="G3" s="8"/>
      <c r="H3" s="8"/>
      <c r="I3" s="8"/>
      <c r="J3" s="8"/>
    </row>
    <row r="4" spans="1:18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8" ht="18.75" x14ac:dyDescent="0.3">
      <c r="B5" s="14" t="s">
        <v>5</v>
      </c>
      <c r="C5" s="14" t="s">
        <v>44</v>
      </c>
      <c r="D5" s="14" t="s">
        <v>47</v>
      </c>
      <c r="E5" s="14" t="s">
        <v>45</v>
      </c>
      <c r="F5" s="14" t="s">
        <v>48</v>
      </c>
      <c r="G5" s="14" t="s">
        <v>46</v>
      </c>
      <c r="H5" s="14" t="s">
        <v>8</v>
      </c>
      <c r="I5" s="14" t="s">
        <v>49</v>
      </c>
      <c r="J5" s="8"/>
      <c r="K5" s="14" t="s">
        <v>35</v>
      </c>
      <c r="L5" s="14" t="s">
        <v>36</v>
      </c>
      <c r="M5" s="14" t="s">
        <v>37</v>
      </c>
      <c r="N5" s="14" t="s">
        <v>38</v>
      </c>
      <c r="O5" s="14" t="s">
        <v>39</v>
      </c>
      <c r="P5" s="14" t="s">
        <v>40</v>
      </c>
      <c r="Q5" s="14" t="s">
        <v>41</v>
      </c>
      <c r="R5" s="14"/>
    </row>
    <row r="6" spans="1:18" ht="18.75" x14ac:dyDescent="0.3">
      <c r="A6" s="4"/>
      <c r="B6" s="14" t="s">
        <v>80</v>
      </c>
      <c r="C6" s="15">
        <f>raidisseur!C6</f>
        <v>0</v>
      </c>
      <c r="D6" s="15">
        <f>C6*$D$3</f>
        <v>0</v>
      </c>
      <c r="E6" s="15">
        <f>raidisseur!E6</f>
        <v>0</v>
      </c>
      <c r="F6" s="15">
        <f>D6*E6</f>
        <v>0</v>
      </c>
      <c r="G6" s="16" t="e">
        <f>$G$11-E6</f>
        <v>#DIV/0!</v>
      </c>
      <c r="H6" s="15">
        <f>raidisseur!H6</f>
        <v>0</v>
      </c>
      <c r="I6" s="7" t="e">
        <f>D6*H6^2/12+D6*G6^2</f>
        <v>#DIV/0!</v>
      </c>
      <c r="J6" s="8"/>
      <c r="K6" s="2" t="s">
        <v>42</v>
      </c>
      <c r="L6" s="2"/>
      <c r="M6" s="2" t="s">
        <v>43</v>
      </c>
      <c r="N6" s="2"/>
      <c r="O6" s="2" t="s">
        <v>123</v>
      </c>
      <c r="P6" s="2"/>
      <c r="Q6" s="2" t="s">
        <v>124</v>
      </c>
      <c r="R6" s="2"/>
    </row>
    <row r="7" spans="1:18" x14ac:dyDescent="0.25">
      <c r="A7" s="4"/>
      <c r="B7" s="14">
        <v>2</v>
      </c>
      <c r="C7" s="15">
        <f>raidisseur!C7</f>
        <v>0</v>
      </c>
      <c r="D7" s="15">
        <f>C7*$D$3</f>
        <v>0</v>
      </c>
      <c r="E7" s="15">
        <f>raidisseur!E7</f>
        <v>0</v>
      </c>
      <c r="F7" s="15">
        <f t="shared" ref="F7:F10" si="0">D7*E7</f>
        <v>0</v>
      </c>
      <c r="G7" s="16" t="e">
        <f>$G$11-E7</f>
        <v>#DIV/0!</v>
      </c>
      <c r="H7" s="15">
        <f>raidisseur!H7</f>
        <v>0</v>
      </c>
      <c r="I7" s="7" t="e">
        <f t="shared" ref="I7:I10" si="1">D7*H7^2/12+D7*G7^2</f>
        <v>#DIV/0!</v>
      </c>
      <c r="J7" s="8"/>
      <c r="K7" s="8"/>
      <c r="L7" s="8"/>
    </row>
    <row r="8" spans="1:18" x14ac:dyDescent="0.25">
      <c r="A8" s="4"/>
      <c r="B8" s="14">
        <v>3</v>
      </c>
      <c r="C8" s="15">
        <f>raidisseur!C8</f>
        <v>0</v>
      </c>
      <c r="D8" s="15">
        <f>C8*$D$3</f>
        <v>0</v>
      </c>
      <c r="E8" s="15">
        <f>raidisseur!E8</f>
        <v>0</v>
      </c>
      <c r="F8" s="15">
        <f t="shared" si="0"/>
        <v>0</v>
      </c>
      <c r="G8" s="16" t="e">
        <f>$G$11-E8</f>
        <v>#DIV/0!</v>
      </c>
      <c r="H8" s="15">
        <f>raidisseur!H8</f>
        <v>0</v>
      </c>
      <c r="I8" s="7" t="e">
        <f t="shared" si="1"/>
        <v>#DIV/0!</v>
      </c>
      <c r="J8" s="8"/>
      <c r="K8" s="8"/>
      <c r="L8" s="8"/>
    </row>
    <row r="9" spans="1:18" x14ac:dyDescent="0.25">
      <c r="A9" s="4"/>
      <c r="B9" s="14">
        <v>4</v>
      </c>
      <c r="C9" s="15">
        <f>raidisseur!C9</f>
        <v>0</v>
      </c>
      <c r="D9" s="15">
        <f>C9*$D$3</f>
        <v>0</v>
      </c>
      <c r="E9" s="15">
        <f>raidisseur!E9</f>
        <v>0</v>
      </c>
      <c r="F9" s="15">
        <f t="shared" si="0"/>
        <v>0</v>
      </c>
      <c r="G9" s="16" t="e">
        <f>$G$11-E9</f>
        <v>#DIV/0!</v>
      </c>
      <c r="H9" s="15">
        <f>raidisseur!H9</f>
        <v>0</v>
      </c>
      <c r="I9" s="7" t="e">
        <f t="shared" si="1"/>
        <v>#DIV/0!</v>
      </c>
      <c r="J9" s="8"/>
      <c r="K9" s="8"/>
      <c r="L9" s="8"/>
    </row>
    <row r="10" spans="1:18" x14ac:dyDescent="0.25">
      <c r="B10" s="14" t="s">
        <v>81</v>
      </c>
      <c r="C10" s="15">
        <f>raidisseur!C10</f>
        <v>0</v>
      </c>
      <c r="D10" s="15">
        <f>C10*$D$3</f>
        <v>0</v>
      </c>
      <c r="E10" s="15">
        <f>raidisseur!E10</f>
        <v>0</v>
      </c>
      <c r="F10" s="15">
        <f t="shared" si="0"/>
        <v>0</v>
      </c>
      <c r="G10" s="16" t="e">
        <f>$G$11-E10</f>
        <v>#DIV/0!</v>
      </c>
      <c r="H10" s="15">
        <f>raidisseur!H10</f>
        <v>0</v>
      </c>
      <c r="I10" s="7" t="e">
        <f t="shared" si="1"/>
        <v>#DIV/0!</v>
      </c>
      <c r="J10" s="8"/>
    </row>
    <row r="11" spans="1:18" x14ac:dyDescent="0.25">
      <c r="B11" s="27" t="s">
        <v>6</v>
      </c>
      <c r="C11" s="17"/>
      <c r="D11" s="28">
        <f>SUM(D6:D10)</f>
        <v>0</v>
      </c>
      <c r="E11" s="18"/>
      <c r="F11" s="15">
        <f>SUM(F6:F10)</f>
        <v>0</v>
      </c>
      <c r="G11" s="18" t="e">
        <f>F11/D11</f>
        <v>#DIV/0!</v>
      </c>
      <c r="H11" s="18"/>
      <c r="I11" s="7" t="e">
        <f>SUM(I6:I10)</f>
        <v>#DIV/0!</v>
      </c>
      <c r="J11" s="8"/>
    </row>
    <row r="12" spans="1:18" x14ac:dyDescent="0.25">
      <c r="B12" s="19"/>
      <c r="C12" s="19"/>
      <c r="D12" s="19"/>
      <c r="E12" s="19"/>
      <c r="F12" s="19"/>
      <c r="G12" s="19"/>
      <c r="H12" s="20"/>
      <c r="I12" s="20"/>
      <c r="J12" s="20"/>
      <c r="K12" s="8"/>
      <c r="L12" s="8"/>
    </row>
    <row r="13" spans="1:18" ht="16.5" x14ac:dyDescent="0.3">
      <c r="B13" s="14" t="s">
        <v>5</v>
      </c>
      <c r="C13" s="14" t="s">
        <v>44</v>
      </c>
      <c r="D13" s="14" t="s">
        <v>47</v>
      </c>
      <c r="E13" s="14"/>
      <c r="F13" s="14"/>
      <c r="G13" s="14"/>
      <c r="H13" s="14"/>
      <c r="I13" s="14"/>
      <c r="J13" s="8"/>
      <c r="K13" s="14" t="s">
        <v>35</v>
      </c>
      <c r="L13" s="14" t="s">
        <v>36</v>
      </c>
      <c r="M13" s="14" t="s">
        <v>37</v>
      </c>
      <c r="N13" s="14" t="s">
        <v>38</v>
      </c>
      <c r="O13" s="14" t="s">
        <v>39</v>
      </c>
      <c r="P13" s="14" t="s">
        <v>40</v>
      </c>
      <c r="Q13" s="14" t="s">
        <v>41</v>
      </c>
      <c r="R13" s="14"/>
    </row>
    <row r="14" spans="1:18" ht="18.75" x14ac:dyDescent="0.3">
      <c r="A14" s="4"/>
      <c r="B14" s="14" t="s">
        <v>80</v>
      </c>
      <c r="C14" s="15" t="e">
        <f>'largeur_eff_semelle (3)'!O5</f>
        <v>#DIV/0!</v>
      </c>
      <c r="D14" s="15" t="e">
        <f>C14*$D$3</f>
        <v>#DIV/0!</v>
      </c>
      <c r="E14" s="15"/>
      <c r="F14" s="15"/>
      <c r="G14" s="16"/>
      <c r="H14" s="16"/>
      <c r="I14" s="87"/>
      <c r="J14" s="8"/>
      <c r="K14" s="2" t="s">
        <v>42</v>
      </c>
      <c r="L14" s="2"/>
      <c r="M14" s="2" t="s">
        <v>43</v>
      </c>
      <c r="N14" s="2"/>
      <c r="O14" s="2" t="s">
        <v>123</v>
      </c>
      <c r="P14" s="2"/>
      <c r="Q14" s="2" t="s">
        <v>124</v>
      </c>
      <c r="R14" s="2"/>
    </row>
    <row r="15" spans="1:18" x14ac:dyDescent="0.25">
      <c r="A15" s="4"/>
      <c r="B15" s="14">
        <v>2</v>
      </c>
      <c r="C15" s="15">
        <f>C7</f>
        <v>0</v>
      </c>
      <c r="D15" s="15">
        <f t="shared" ref="D15:D18" si="2">C15*$D$3</f>
        <v>0</v>
      </c>
      <c r="E15" s="15"/>
      <c r="F15" s="15"/>
      <c r="G15" s="16"/>
      <c r="H15" s="16"/>
      <c r="I15" s="6"/>
      <c r="J15" s="8"/>
      <c r="K15" s="8"/>
      <c r="L15" s="8"/>
    </row>
    <row r="16" spans="1:18" x14ac:dyDescent="0.25">
      <c r="A16" s="4"/>
      <c r="B16" s="14">
        <v>3</v>
      </c>
      <c r="C16" s="15">
        <f t="shared" ref="C16:C17" si="3">C8</f>
        <v>0</v>
      </c>
      <c r="D16" s="15">
        <f t="shared" si="2"/>
        <v>0</v>
      </c>
      <c r="E16" s="50"/>
      <c r="F16" s="15"/>
      <c r="G16" s="16"/>
      <c r="H16" s="16"/>
      <c r="I16" s="7"/>
      <c r="J16" s="8"/>
      <c r="K16" s="8"/>
      <c r="L16" s="8"/>
    </row>
    <row r="17" spans="1:12" x14ac:dyDescent="0.25">
      <c r="A17" s="4"/>
      <c r="B17" s="14">
        <v>4</v>
      </c>
      <c r="C17" s="15">
        <f t="shared" si="3"/>
        <v>0</v>
      </c>
      <c r="D17" s="15">
        <f t="shared" si="2"/>
        <v>0</v>
      </c>
      <c r="E17" s="17"/>
      <c r="F17" s="15"/>
      <c r="G17" s="16"/>
      <c r="H17" s="16"/>
      <c r="I17" s="6"/>
      <c r="J17" s="8"/>
      <c r="K17" s="8"/>
      <c r="L17" s="8"/>
    </row>
    <row r="18" spans="1:12" x14ac:dyDescent="0.25">
      <c r="B18" s="14" t="s">
        <v>81</v>
      </c>
      <c r="C18" s="15" t="e">
        <f>'largeur_eff_semelle (3)'!O5</f>
        <v>#DIV/0!</v>
      </c>
      <c r="D18" s="15" t="e">
        <f t="shared" si="2"/>
        <v>#DIV/0!</v>
      </c>
      <c r="E18" s="15"/>
      <c r="F18" s="15"/>
      <c r="G18" s="16"/>
      <c r="H18" s="16"/>
      <c r="I18" s="87"/>
      <c r="J18" s="8"/>
    </row>
    <row r="19" spans="1:12" x14ac:dyDescent="0.25">
      <c r="B19" s="27" t="s">
        <v>6</v>
      </c>
      <c r="C19" s="17"/>
      <c r="D19" s="28" t="e">
        <f>SUM(D14:D18)</f>
        <v>#DIV/0!</v>
      </c>
      <c r="E19" s="18"/>
      <c r="F19" s="15"/>
      <c r="G19" s="18"/>
      <c r="H19" s="18"/>
      <c r="I19" s="7"/>
      <c r="J19" s="8"/>
    </row>
    <row r="20" spans="1:12" x14ac:dyDescent="0.25">
      <c r="B20" s="19"/>
      <c r="C20" s="19"/>
      <c r="D20" s="19"/>
      <c r="E20" s="19"/>
      <c r="F20" s="19"/>
      <c r="G20" s="19"/>
      <c r="H20" s="20"/>
      <c r="I20" s="20"/>
      <c r="J20" s="20"/>
      <c r="K20" s="8"/>
      <c r="L20" s="8"/>
    </row>
    <row r="21" spans="1:12" x14ac:dyDescent="0.25">
      <c r="B21" s="19"/>
      <c r="C21" s="19"/>
      <c r="D21" s="19"/>
      <c r="E21" s="19"/>
      <c r="F21" s="19"/>
      <c r="G21" s="19"/>
      <c r="H21" s="20"/>
      <c r="I21" s="20"/>
      <c r="J21" s="20"/>
      <c r="K21" s="8"/>
      <c r="L21" s="8"/>
    </row>
    <row r="22" spans="1:12" ht="16.5" x14ac:dyDescent="0.3">
      <c r="B22" s="2" t="s">
        <v>148</v>
      </c>
      <c r="C22" s="2"/>
      <c r="D22" s="2" t="s">
        <v>26</v>
      </c>
      <c r="E22" s="2" t="s">
        <v>27</v>
      </c>
      <c r="F22" s="2" t="s">
        <v>28</v>
      </c>
      <c r="G22" s="141" t="s">
        <v>149</v>
      </c>
      <c r="H22" s="2" t="s">
        <v>129</v>
      </c>
      <c r="I22" s="2" t="s">
        <v>29</v>
      </c>
      <c r="J22" s="8"/>
      <c r="K22" s="8"/>
      <c r="L22" s="8"/>
    </row>
    <row r="23" spans="1:12" x14ac:dyDescent="0.25">
      <c r="B23" s="7" t="e">
        <f>2*C3+B3</f>
        <v>#DIV/0!</v>
      </c>
      <c r="C23" s="7"/>
      <c r="D23" s="7">
        <f>données!N3</f>
        <v>0</v>
      </c>
      <c r="E23" s="7" t="e">
        <f>données!O3</f>
        <v>#DIV/0!</v>
      </c>
      <c r="F23" s="7" t="e">
        <f>3.07*(I11*C3^2*(2*C3+3*B3)/D3^3)^0.25</f>
        <v>#DIV/0!</v>
      </c>
      <c r="G23" s="7" t="e">
        <f>F23/E23</f>
        <v>#DIV/0!</v>
      </c>
      <c r="H23" s="7" t="e">
        <f>((E23+2*B23)/(E23+0.5*B23))^0.5</f>
        <v>#DIV/0!</v>
      </c>
      <c r="I23" s="88" t="e">
        <f>IF(G23&gt;2,H23,(H23-(H23-1)*(2*F23/E23-(F23/E23)^2)))</f>
        <v>#DIV/0!</v>
      </c>
      <c r="J23" s="8"/>
      <c r="K23" s="8"/>
      <c r="L23" s="8"/>
    </row>
    <row r="24" spans="1:12" x14ac:dyDescent="0.25"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12" ht="16.5" x14ac:dyDescent="0.3">
      <c r="B25" s="2" t="s">
        <v>50</v>
      </c>
      <c r="C25" s="8"/>
      <c r="D25" s="8"/>
      <c r="E25" s="8"/>
      <c r="F25" s="8"/>
      <c r="G25" s="8"/>
      <c r="H25" s="8"/>
      <c r="I25" s="8"/>
      <c r="J25" s="8"/>
      <c r="K25" s="8"/>
    </row>
    <row r="26" spans="1:12" x14ac:dyDescent="0.25">
      <c r="B26" s="7" t="e">
        <f>4.2*I23*E3/D19*(I11*D3^3/4/C3^2/(2*C3+3*B3))^0.5</f>
        <v>#DIV/0!</v>
      </c>
      <c r="C26" s="8"/>
      <c r="D26" s="8"/>
      <c r="E26" s="8"/>
      <c r="F26" s="8"/>
      <c r="G26" s="8"/>
      <c r="H26" s="8"/>
      <c r="I26" s="8"/>
      <c r="J26" s="8"/>
      <c r="K26" s="8"/>
    </row>
    <row r="28" spans="1:12" ht="16.5" x14ac:dyDescent="0.3">
      <c r="B28" s="2" t="s">
        <v>21</v>
      </c>
      <c r="C28" s="2" t="s">
        <v>10</v>
      </c>
      <c r="D28" s="2" t="s">
        <v>130</v>
      </c>
      <c r="E28" s="2" t="s">
        <v>131</v>
      </c>
    </row>
    <row r="29" spans="1:12" x14ac:dyDescent="0.25">
      <c r="B29" s="6">
        <f>données!G3</f>
        <v>0</v>
      </c>
      <c r="C29" s="12" t="e">
        <f>(B29/B26)^0.5</f>
        <v>#DIV/0!</v>
      </c>
      <c r="D29" t="e">
        <f>IF(C29&lt;0.65,1,(1.47-0.723*C29))</f>
        <v>#DIV/0!</v>
      </c>
      <c r="E29" t="e">
        <f>IF(C29&gt;1.38,0.66/C29,D29)</f>
        <v>#DIV/0!</v>
      </c>
    </row>
    <row r="31" spans="1:12" ht="16.5" x14ac:dyDescent="0.3">
      <c r="B31" s="7" t="s">
        <v>12</v>
      </c>
      <c r="C31" s="14" t="s">
        <v>56</v>
      </c>
      <c r="E31" t="s">
        <v>146</v>
      </c>
    </row>
    <row r="32" spans="1:12" x14ac:dyDescent="0.25">
      <c r="B32" s="89" t="e">
        <f>E29</f>
        <v>#DIV/0!</v>
      </c>
      <c r="C32" s="15" t="e">
        <f>B32*données!E3</f>
        <v>#DIV/0!</v>
      </c>
      <c r="E32" t="e">
        <f>B29/'largeur_eff_semelle (3)'!K5/'largeur_eff_semelle (3)'!J5</f>
        <v>#DIV/0!</v>
      </c>
      <c r="G32" t="e">
        <f>B32*E32</f>
        <v>#DIV/0!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"/>
  <sheetViews>
    <sheetView workbookViewId="0">
      <selection activeCell="J10" sqref="J10"/>
    </sheetView>
  </sheetViews>
  <sheetFormatPr baseColWidth="10" defaultRowHeight="15" x14ac:dyDescent="0.25"/>
  <cols>
    <col min="2" max="2" width="7.140625" bestFit="1" customWidth="1"/>
    <col min="3" max="3" width="4.42578125" bestFit="1" customWidth="1"/>
    <col min="4" max="4" width="11.28515625" bestFit="1" customWidth="1"/>
    <col min="5" max="5" width="10.28515625" bestFit="1" customWidth="1"/>
    <col min="6" max="6" width="4.42578125" bestFit="1" customWidth="1"/>
    <col min="7" max="7" width="6.85546875" customWidth="1"/>
    <col min="8" max="8" width="4.42578125" customWidth="1"/>
    <col min="9" max="9" width="5.42578125" bestFit="1" customWidth="1"/>
    <col min="10" max="10" width="7.140625" customWidth="1"/>
    <col min="11" max="11" width="5.42578125" customWidth="1"/>
    <col min="12" max="12" width="7.7109375" customWidth="1"/>
    <col min="13" max="13" width="5.42578125" bestFit="1" customWidth="1"/>
    <col min="14" max="14" width="7.85546875" bestFit="1" customWidth="1"/>
    <col min="15" max="15" width="8.42578125" bestFit="1" customWidth="1"/>
  </cols>
  <sheetData>
    <row r="2" spans="2:15" x14ac:dyDescent="0.25">
      <c r="B2" s="8" t="s">
        <v>150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2:15" x14ac:dyDescent="0.2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2:15" ht="16.5" x14ac:dyDescent="0.3">
      <c r="B4" s="2" t="s">
        <v>22</v>
      </c>
      <c r="C4" s="2" t="s">
        <v>0</v>
      </c>
      <c r="D4" s="2" t="s">
        <v>21</v>
      </c>
      <c r="E4" s="2" t="s">
        <v>2</v>
      </c>
      <c r="F4" s="2" t="s">
        <v>1</v>
      </c>
      <c r="G4" s="47" t="s">
        <v>79</v>
      </c>
      <c r="H4" s="44" t="s">
        <v>75</v>
      </c>
      <c r="I4" s="2" t="s">
        <v>23</v>
      </c>
      <c r="J4" s="45" t="s">
        <v>77</v>
      </c>
      <c r="K4" s="46" t="s">
        <v>78</v>
      </c>
      <c r="L4" s="2" t="s">
        <v>76</v>
      </c>
      <c r="M4" s="2" t="s">
        <v>3</v>
      </c>
      <c r="N4" s="11" t="s">
        <v>24</v>
      </c>
      <c r="O4" s="11" t="s">
        <v>4</v>
      </c>
    </row>
    <row r="5" spans="2:15" x14ac:dyDescent="0.25">
      <c r="B5" s="7" t="e">
        <f>largeur_eff_semelle!B$5</f>
        <v>#DIV/0!</v>
      </c>
      <c r="C5" s="7">
        <f>données!E3</f>
        <v>0</v>
      </c>
      <c r="D5" s="42">
        <f>données!G3</f>
        <v>0</v>
      </c>
      <c r="E5" s="7">
        <f>données!H3</f>
        <v>0</v>
      </c>
      <c r="F5" s="7">
        <v>4</v>
      </c>
      <c r="G5" s="7">
        <v>1</v>
      </c>
      <c r="H5" s="7" t="e">
        <f>(235/D5)^0.5</f>
        <v>#DIV/0!</v>
      </c>
      <c r="I5" s="12" t="e">
        <f>B5/C5/28.4/H5/(F5)^0.5</f>
        <v>#DIV/0!</v>
      </c>
      <c r="J5" s="96" t="e">
        <f>MIN(D5,'raidisseur (3)'!B32*D5*(données!$J$30-'résistance_section (2)'!H31)/'résistance_section (2)'!H31)</f>
        <v>#DIV/0!</v>
      </c>
      <c r="K5" s="12">
        <v>1</v>
      </c>
      <c r="L5" s="12" t="e">
        <f>I5*SQRT(J5/D5/K5)</f>
        <v>#DIV/0!</v>
      </c>
      <c r="M5" s="12" t="e">
        <f>IF(L5&gt;0.673,(L5-0.055*(3+G5))/L5^2+0.18*(I5-L5)/(I5-0.6),1)</f>
        <v>#DIV/0!</v>
      </c>
      <c r="N5" s="7" t="e">
        <f>M5*B5</f>
        <v>#DIV/0!</v>
      </c>
      <c r="O5" s="86" t="e">
        <f>N5/2</f>
        <v>#DIV/0!</v>
      </c>
    </row>
    <row r="6" spans="2:15" x14ac:dyDescent="0.25">
      <c r="B6" s="8"/>
      <c r="C6" s="8"/>
      <c r="D6" s="43"/>
      <c r="E6" s="8"/>
      <c r="F6" s="8"/>
      <c r="G6" s="8"/>
      <c r="H6" s="8"/>
      <c r="I6" s="8"/>
      <c r="J6" s="33"/>
      <c r="K6" s="8"/>
      <c r="L6" s="8"/>
      <c r="M6" s="8"/>
      <c r="N6" s="8"/>
      <c r="O6" s="8"/>
    </row>
    <row r="7" spans="2:15" x14ac:dyDescent="0.25">
      <c r="B7" s="8" t="s">
        <v>17</v>
      </c>
      <c r="C7" s="8"/>
      <c r="D7" s="43"/>
      <c r="E7" s="8"/>
      <c r="F7" s="8"/>
      <c r="G7" s="8"/>
      <c r="H7" s="8"/>
      <c r="I7" s="8"/>
      <c r="J7" s="33"/>
      <c r="K7" s="8"/>
      <c r="L7" s="8"/>
      <c r="M7" s="8"/>
      <c r="N7" s="8"/>
      <c r="O7" s="8"/>
    </row>
    <row r="8" spans="2:15" x14ac:dyDescent="0.25">
      <c r="B8" s="8"/>
      <c r="C8" s="8"/>
      <c r="D8" s="43"/>
      <c r="E8" s="8"/>
      <c r="F8" s="8"/>
      <c r="G8" s="8"/>
      <c r="H8" s="8"/>
      <c r="I8" s="8"/>
      <c r="J8" s="33"/>
      <c r="K8" s="8"/>
      <c r="L8" s="8"/>
      <c r="M8" s="8"/>
      <c r="N8" s="8"/>
      <c r="O8" s="8"/>
    </row>
    <row r="9" spans="2:15" ht="16.5" x14ac:dyDescent="0.3">
      <c r="B9" s="2" t="s">
        <v>22</v>
      </c>
      <c r="C9" s="2" t="s">
        <v>0</v>
      </c>
      <c r="D9" s="11" t="s">
        <v>21</v>
      </c>
      <c r="E9" s="2" t="s">
        <v>2</v>
      </c>
      <c r="F9" s="2" t="s">
        <v>1</v>
      </c>
      <c r="G9" s="47" t="s">
        <v>79</v>
      </c>
      <c r="H9" s="44" t="s">
        <v>75</v>
      </c>
      <c r="I9" s="2" t="s">
        <v>23</v>
      </c>
      <c r="J9" s="45" t="s">
        <v>77</v>
      </c>
      <c r="K9" s="46" t="s">
        <v>78</v>
      </c>
      <c r="L9" s="2" t="s">
        <v>76</v>
      </c>
      <c r="M9" s="2" t="s">
        <v>3</v>
      </c>
      <c r="N9" s="11" t="s">
        <v>24</v>
      </c>
      <c r="O9" s="11" t="s">
        <v>4</v>
      </c>
    </row>
    <row r="10" spans="2:15" x14ac:dyDescent="0.25">
      <c r="B10" s="7" t="e">
        <f>largeur_eff_semelle!B$5</f>
        <v>#DIV/0!</v>
      </c>
      <c r="C10" s="7">
        <f>données!$E$3</f>
        <v>0</v>
      </c>
      <c r="D10" s="42">
        <f>données!$G$3</f>
        <v>0</v>
      </c>
      <c r="E10" s="7">
        <f>données!$H$3</f>
        <v>0</v>
      </c>
      <c r="F10" s="7">
        <v>4</v>
      </c>
      <c r="G10" s="7">
        <v>1</v>
      </c>
      <c r="H10" s="7" t="e">
        <f>(235/D10)^0.5</f>
        <v>#DIV/0!</v>
      </c>
      <c r="I10" s="12" t="e">
        <f>B10/C10/28.4/H10/(F10)^0.5</f>
        <v>#DIV/0!</v>
      </c>
      <c r="J10" s="96" t="e">
        <f>MIN(D10,D10*(données!$J$30-'résistance_section (2)'!H31)/'résistance_section (2)'!H31)</f>
        <v>#DIV/0!</v>
      </c>
      <c r="K10" s="12">
        <v>1</v>
      </c>
      <c r="L10" s="12" t="e">
        <f>I10*SQRT(J10/D10/K10)</f>
        <v>#DIV/0!</v>
      </c>
      <c r="M10" s="12" t="e">
        <f>IF(L10&gt;0.673,(L10-0.055*(3+G10))/L10^2+0.18*(I10-L10)/(I10-0.6),1)</f>
        <v>#DIV/0!</v>
      </c>
      <c r="N10" s="7" t="e">
        <f>M10*B10</f>
        <v>#DIV/0!</v>
      </c>
      <c r="O10" s="86" t="e">
        <f>N10/2</f>
        <v>#DIV/0!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2"/>
  <sheetViews>
    <sheetView workbookViewId="0">
      <selection activeCell="C18" sqref="C18"/>
    </sheetView>
  </sheetViews>
  <sheetFormatPr baseColWidth="10" defaultRowHeight="15" x14ac:dyDescent="0.25"/>
  <cols>
    <col min="2" max="2" width="11.42578125" bestFit="1" customWidth="1"/>
    <col min="3" max="3" width="7.85546875" bestFit="1" customWidth="1"/>
    <col min="4" max="4" width="8.28515625" bestFit="1" customWidth="1"/>
    <col min="5" max="5" width="10.7109375" customWidth="1"/>
    <col min="6" max="6" width="8.42578125" customWidth="1"/>
    <col min="7" max="7" width="10.28515625" bestFit="1" customWidth="1"/>
    <col min="8" max="8" width="7.42578125" bestFit="1" customWidth="1"/>
    <col min="11" max="11" width="14.85546875" bestFit="1" customWidth="1"/>
    <col min="12" max="12" width="17" customWidth="1"/>
    <col min="13" max="13" width="17" bestFit="1" customWidth="1"/>
    <col min="14" max="15" width="14.85546875" bestFit="1" customWidth="1"/>
    <col min="16" max="16" width="16.140625" bestFit="1" customWidth="1"/>
    <col min="17" max="17" width="17" bestFit="1" customWidth="1"/>
    <col min="18" max="18" width="14.85546875" bestFit="1" customWidth="1"/>
  </cols>
  <sheetData>
    <row r="2" spans="1:18" ht="16.5" x14ac:dyDescent="0.3">
      <c r="B2" s="2" t="s">
        <v>25</v>
      </c>
      <c r="C2" s="2" t="s">
        <v>22</v>
      </c>
      <c r="D2" s="2" t="s">
        <v>0</v>
      </c>
      <c r="E2" s="2" t="s">
        <v>2</v>
      </c>
      <c r="F2" s="11" t="s">
        <v>8</v>
      </c>
      <c r="G2" s="8"/>
      <c r="H2" s="8"/>
      <c r="I2" s="8"/>
      <c r="J2" s="8"/>
    </row>
    <row r="3" spans="1:18" x14ac:dyDescent="0.25">
      <c r="B3" s="7">
        <f>raidisseur!B3</f>
        <v>0</v>
      </c>
      <c r="C3" s="7" t="e">
        <f>raidisseur!C3</f>
        <v>#DIV/0!</v>
      </c>
      <c r="D3" s="2">
        <f>données!E3</f>
        <v>0</v>
      </c>
      <c r="E3" s="7">
        <f>données!H3</f>
        <v>0</v>
      </c>
      <c r="F3" s="13">
        <f>données!D8</f>
        <v>0</v>
      </c>
      <c r="G3" s="8"/>
      <c r="H3" s="8"/>
      <c r="I3" s="8"/>
      <c r="J3" s="8"/>
    </row>
    <row r="4" spans="1:18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8" ht="18.75" x14ac:dyDescent="0.3">
      <c r="B5" s="14" t="s">
        <v>5</v>
      </c>
      <c r="C5" s="14" t="s">
        <v>44</v>
      </c>
      <c r="D5" s="14" t="s">
        <v>47</v>
      </c>
      <c r="E5" s="14" t="s">
        <v>45</v>
      </c>
      <c r="F5" s="14" t="s">
        <v>48</v>
      </c>
      <c r="G5" s="14" t="s">
        <v>46</v>
      </c>
      <c r="H5" s="14" t="s">
        <v>8</v>
      </c>
      <c r="I5" s="14" t="s">
        <v>49</v>
      </c>
      <c r="J5" s="8"/>
      <c r="K5" s="14" t="s">
        <v>35</v>
      </c>
      <c r="L5" s="14" t="s">
        <v>36</v>
      </c>
      <c r="M5" s="14" t="s">
        <v>37</v>
      </c>
      <c r="N5" s="14" t="s">
        <v>38</v>
      </c>
      <c r="O5" s="14" t="s">
        <v>39</v>
      </c>
      <c r="P5" s="14" t="s">
        <v>40</v>
      </c>
      <c r="Q5" s="14" t="s">
        <v>41</v>
      </c>
      <c r="R5" s="14"/>
    </row>
    <row r="6" spans="1:18" ht="18.75" x14ac:dyDescent="0.3">
      <c r="A6" s="4"/>
      <c r="B6" s="14" t="s">
        <v>80</v>
      </c>
      <c r="C6" s="15">
        <f>raidisseur!C6</f>
        <v>0</v>
      </c>
      <c r="D6" s="15">
        <f>C6*$D$3</f>
        <v>0</v>
      </c>
      <c r="E6" s="15">
        <f>raidisseur!E6</f>
        <v>0</v>
      </c>
      <c r="F6" s="15">
        <f>D6*E6</f>
        <v>0</v>
      </c>
      <c r="G6" s="16" t="e">
        <f>$G$11-E6</f>
        <v>#DIV/0!</v>
      </c>
      <c r="H6" s="15">
        <f>raidisseur!H6</f>
        <v>0</v>
      </c>
      <c r="I6" s="7" t="e">
        <f>D6*H6^2/12+D6*G6^2</f>
        <v>#DIV/0!</v>
      </c>
      <c r="J6" s="8"/>
      <c r="K6" s="2" t="s">
        <v>42</v>
      </c>
      <c r="L6" s="2"/>
      <c r="M6" s="2" t="s">
        <v>43</v>
      </c>
      <c r="N6" s="2"/>
      <c r="O6" s="2" t="s">
        <v>123</v>
      </c>
      <c r="P6" s="2"/>
      <c r="Q6" s="2" t="s">
        <v>124</v>
      </c>
      <c r="R6" s="2"/>
    </row>
    <row r="7" spans="1:18" x14ac:dyDescent="0.25">
      <c r="A7" s="4"/>
      <c r="B7" s="14">
        <v>2</v>
      </c>
      <c r="C7" s="15">
        <f>raidisseur!C7</f>
        <v>0</v>
      </c>
      <c r="D7" s="15">
        <f>C7*$D$3</f>
        <v>0</v>
      </c>
      <c r="E7" s="15">
        <f>raidisseur!E7</f>
        <v>0</v>
      </c>
      <c r="F7" s="15">
        <f t="shared" ref="F7:F10" si="0">D7*E7</f>
        <v>0</v>
      </c>
      <c r="G7" s="16" t="e">
        <f>$G$11-E7</f>
        <v>#DIV/0!</v>
      </c>
      <c r="H7" s="15">
        <f>raidisseur!H7</f>
        <v>0</v>
      </c>
      <c r="I7" s="7" t="e">
        <f t="shared" ref="I7:I10" si="1">D7*H7^2/12+D7*G7^2</f>
        <v>#DIV/0!</v>
      </c>
      <c r="J7" s="8"/>
      <c r="K7" s="8"/>
      <c r="L7" s="8"/>
    </row>
    <row r="8" spans="1:18" x14ac:dyDescent="0.25">
      <c r="A8" s="4"/>
      <c r="B8" s="14">
        <v>3</v>
      </c>
      <c r="C8" s="15">
        <f>raidisseur!C8</f>
        <v>0</v>
      </c>
      <c r="D8" s="15">
        <f>C8*$D$3</f>
        <v>0</v>
      </c>
      <c r="E8" s="15">
        <f>raidisseur!E8</f>
        <v>0</v>
      </c>
      <c r="F8" s="15">
        <f t="shared" si="0"/>
        <v>0</v>
      </c>
      <c r="G8" s="16" t="e">
        <f>$G$11-E8</f>
        <v>#DIV/0!</v>
      </c>
      <c r="H8" s="15">
        <f>raidisseur!H8</f>
        <v>0</v>
      </c>
      <c r="I8" s="7" t="e">
        <f t="shared" si="1"/>
        <v>#DIV/0!</v>
      </c>
      <c r="J8" s="8"/>
      <c r="K8" s="8"/>
      <c r="L8" s="8"/>
    </row>
    <row r="9" spans="1:18" x14ac:dyDescent="0.25">
      <c r="A9" s="4"/>
      <c r="B9" s="14">
        <v>4</v>
      </c>
      <c r="C9" s="15">
        <f>raidisseur!C9</f>
        <v>0</v>
      </c>
      <c r="D9" s="15">
        <f>C9*$D$3</f>
        <v>0</v>
      </c>
      <c r="E9" s="15">
        <f>raidisseur!E9</f>
        <v>0</v>
      </c>
      <c r="F9" s="15">
        <f t="shared" si="0"/>
        <v>0</v>
      </c>
      <c r="G9" s="16" t="e">
        <f>$G$11-E9</f>
        <v>#DIV/0!</v>
      </c>
      <c r="H9" s="15">
        <f>raidisseur!H9</f>
        <v>0</v>
      </c>
      <c r="I9" s="7" t="e">
        <f t="shared" si="1"/>
        <v>#DIV/0!</v>
      </c>
      <c r="J9" s="8"/>
      <c r="K9" s="8"/>
      <c r="L9" s="8"/>
    </row>
    <row r="10" spans="1:18" x14ac:dyDescent="0.25">
      <c r="B10" s="14" t="s">
        <v>81</v>
      </c>
      <c r="C10" s="15">
        <f>raidisseur!C10</f>
        <v>0</v>
      </c>
      <c r="D10" s="15">
        <f>C10*$D$3</f>
        <v>0</v>
      </c>
      <c r="E10" s="15">
        <f>raidisseur!E10</f>
        <v>0</v>
      </c>
      <c r="F10" s="15">
        <f t="shared" si="0"/>
        <v>0</v>
      </c>
      <c r="G10" s="16" t="e">
        <f>$G$11-E10</f>
        <v>#DIV/0!</v>
      </c>
      <c r="H10" s="15">
        <f>raidisseur!H10</f>
        <v>0</v>
      </c>
      <c r="I10" s="7" t="e">
        <f t="shared" si="1"/>
        <v>#DIV/0!</v>
      </c>
      <c r="J10" s="8"/>
    </row>
    <row r="11" spans="1:18" x14ac:dyDescent="0.25">
      <c r="B11" s="27" t="s">
        <v>6</v>
      </c>
      <c r="C11" s="17"/>
      <c r="D11" s="28">
        <f>SUM(D6:D10)</f>
        <v>0</v>
      </c>
      <c r="E11" s="18"/>
      <c r="F11" s="15">
        <f>SUM(F6:F10)</f>
        <v>0</v>
      </c>
      <c r="G11" s="18" t="e">
        <f>F11/D11</f>
        <v>#DIV/0!</v>
      </c>
      <c r="H11" s="18"/>
      <c r="I11" s="7" t="e">
        <f>SUM(I6:I10)</f>
        <v>#DIV/0!</v>
      </c>
      <c r="J11" s="8"/>
    </row>
    <row r="12" spans="1:18" x14ac:dyDescent="0.25">
      <c r="B12" s="19"/>
      <c r="C12" s="18"/>
      <c r="D12" s="18"/>
      <c r="E12" s="18"/>
      <c r="F12" s="18"/>
      <c r="G12" s="18"/>
      <c r="H12" s="18"/>
      <c r="I12" s="137"/>
      <c r="J12" s="8"/>
    </row>
    <row r="13" spans="1:18" ht="16.5" x14ac:dyDescent="0.3">
      <c r="B13" s="14" t="s">
        <v>5</v>
      </c>
      <c r="C13" s="14" t="s">
        <v>44</v>
      </c>
      <c r="D13" s="14" t="s">
        <v>47</v>
      </c>
      <c r="E13" s="14"/>
      <c r="F13" s="14"/>
      <c r="G13" s="14"/>
      <c r="H13" s="14"/>
      <c r="I13" s="14"/>
      <c r="J13" s="8"/>
      <c r="K13" s="14" t="s">
        <v>35</v>
      </c>
      <c r="L13" s="14" t="s">
        <v>36</v>
      </c>
      <c r="M13" s="14" t="s">
        <v>37</v>
      </c>
      <c r="N13" s="14" t="s">
        <v>38</v>
      </c>
      <c r="O13" s="14" t="s">
        <v>39</v>
      </c>
      <c r="P13" s="14" t="s">
        <v>40</v>
      </c>
      <c r="Q13" s="14" t="s">
        <v>41</v>
      </c>
      <c r="R13" s="14"/>
    </row>
    <row r="14" spans="1:18" ht="18.75" x14ac:dyDescent="0.3">
      <c r="A14" s="4"/>
      <c r="B14" s="14" t="s">
        <v>80</v>
      </c>
      <c r="C14" s="15" t="e">
        <f>'largeur_eff_semelle bis (3)'!O5</f>
        <v>#DIV/0!</v>
      </c>
      <c r="D14" s="15" t="e">
        <f>C14*$D$3</f>
        <v>#DIV/0!</v>
      </c>
      <c r="E14" s="15"/>
      <c r="F14" s="15"/>
      <c r="G14" s="16"/>
      <c r="H14" s="16"/>
      <c r="I14" s="87"/>
      <c r="J14" s="8"/>
      <c r="K14" s="2" t="s">
        <v>42</v>
      </c>
      <c r="L14" s="2"/>
      <c r="M14" s="2" t="s">
        <v>43</v>
      </c>
      <c r="N14" s="2"/>
      <c r="O14" s="2" t="s">
        <v>123</v>
      </c>
      <c r="P14" s="2"/>
      <c r="Q14" s="2" t="s">
        <v>124</v>
      </c>
      <c r="R14" s="2"/>
    </row>
    <row r="15" spans="1:18" x14ac:dyDescent="0.25">
      <c r="A15" s="4"/>
      <c r="B15" s="14">
        <v>2</v>
      </c>
      <c r="C15" s="15">
        <f>C7</f>
        <v>0</v>
      </c>
      <c r="D15" s="15">
        <f t="shared" ref="D15:D18" si="2">C15*$D$3</f>
        <v>0</v>
      </c>
      <c r="E15" s="15"/>
      <c r="F15" s="15"/>
      <c r="G15" s="16"/>
      <c r="H15" s="16"/>
      <c r="I15" s="6"/>
      <c r="J15" s="8"/>
      <c r="K15" s="8"/>
      <c r="L15" s="8"/>
    </row>
    <row r="16" spans="1:18" x14ac:dyDescent="0.25">
      <c r="A16" s="4"/>
      <c r="B16" s="14">
        <v>3</v>
      </c>
      <c r="C16" s="15">
        <f t="shared" ref="C16:C17" si="3">C8</f>
        <v>0</v>
      </c>
      <c r="D16" s="15">
        <f t="shared" si="2"/>
        <v>0</v>
      </c>
      <c r="E16" s="50"/>
      <c r="F16" s="15"/>
      <c r="G16" s="16"/>
      <c r="H16" s="16"/>
      <c r="I16" s="7"/>
      <c r="J16" s="8"/>
      <c r="K16" s="8"/>
      <c r="L16" s="8"/>
    </row>
    <row r="17" spans="1:12" x14ac:dyDescent="0.25">
      <c r="A17" s="4"/>
      <c r="B17" s="14">
        <v>4</v>
      </c>
      <c r="C17" s="15">
        <f t="shared" si="3"/>
        <v>0</v>
      </c>
      <c r="D17" s="15">
        <f t="shared" si="2"/>
        <v>0</v>
      </c>
      <c r="E17" s="17"/>
      <c r="F17" s="15"/>
      <c r="G17" s="16"/>
      <c r="H17" s="16"/>
      <c r="I17" s="6"/>
      <c r="J17" s="8"/>
      <c r="K17" s="8"/>
      <c r="L17" s="8"/>
    </row>
    <row r="18" spans="1:12" x14ac:dyDescent="0.25">
      <c r="B18" s="14" t="s">
        <v>81</v>
      </c>
      <c r="C18" s="15" t="e">
        <f>'largeur_eff_semelle bis (3)'!O5</f>
        <v>#DIV/0!</v>
      </c>
      <c r="D18" s="15" t="e">
        <f t="shared" si="2"/>
        <v>#DIV/0!</v>
      </c>
      <c r="E18" s="15"/>
      <c r="F18" s="15"/>
      <c r="G18" s="16"/>
      <c r="H18" s="16"/>
      <c r="I18" s="87"/>
      <c r="J18" s="8"/>
    </row>
    <row r="19" spans="1:12" x14ac:dyDescent="0.25">
      <c r="B19" s="27" t="s">
        <v>6</v>
      </c>
      <c r="C19" s="17"/>
      <c r="D19" s="28" t="e">
        <f>SUM(D14:D18)</f>
        <v>#DIV/0!</v>
      </c>
      <c r="E19" s="18"/>
      <c r="F19" s="15"/>
      <c r="G19" s="18"/>
      <c r="H19" s="18"/>
      <c r="I19" s="7"/>
      <c r="J19" s="8"/>
    </row>
    <row r="20" spans="1:12" x14ac:dyDescent="0.25">
      <c r="B20" s="19"/>
      <c r="C20" s="18"/>
      <c r="D20" s="18"/>
      <c r="E20" s="18"/>
      <c r="F20" s="18"/>
      <c r="G20" s="18"/>
      <c r="H20" s="18"/>
      <c r="I20" s="137"/>
      <c r="J20" s="8"/>
    </row>
    <row r="21" spans="1:12" x14ac:dyDescent="0.25">
      <c r="B21" s="19"/>
      <c r="C21" s="19"/>
      <c r="D21" s="19"/>
      <c r="E21" s="19"/>
      <c r="F21" s="19"/>
      <c r="G21" s="19"/>
      <c r="H21" s="20"/>
      <c r="I21" s="20"/>
      <c r="J21" s="20"/>
      <c r="K21" s="8"/>
      <c r="L21" s="8"/>
    </row>
    <row r="22" spans="1:12" ht="16.5" x14ac:dyDescent="0.3">
      <c r="B22" s="2" t="s">
        <v>148</v>
      </c>
      <c r="C22" s="2"/>
      <c r="D22" s="2" t="s">
        <v>26</v>
      </c>
      <c r="E22" s="2" t="s">
        <v>27</v>
      </c>
      <c r="F22" s="2" t="s">
        <v>28</v>
      </c>
      <c r="G22" s="141" t="s">
        <v>149</v>
      </c>
      <c r="H22" s="2" t="s">
        <v>129</v>
      </c>
      <c r="I22" s="2" t="s">
        <v>29</v>
      </c>
      <c r="J22" s="8"/>
      <c r="K22" s="8"/>
      <c r="L22" s="8"/>
    </row>
    <row r="23" spans="1:12" x14ac:dyDescent="0.25">
      <c r="B23" s="7" t="e">
        <f>2*C3+B3</f>
        <v>#DIV/0!</v>
      </c>
      <c r="C23" s="7"/>
      <c r="D23" s="7">
        <f>données!N3</f>
        <v>0</v>
      </c>
      <c r="E23" s="7" t="e">
        <f>données!O3</f>
        <v>#DIV/0!</v>
      </c>
      <c r="F23" s="7" t="e">
        <f>3.07*(I11*C3^2*(2*C3+3*B3)/D3^3)^0.25</f>
        <v>#DIV/0!</v>
      </c>
      <c r="G23" s="7" t="e">
        <f>F23/E23</f>
        <v>#DIV/0!</v>
      </c>
      <c r="H23" s="7" t="e">
        <f>((E23+2*B23)/(E23+0.5*B23))^0.5</f>
        <v>#DIV/0!</v>
      </c>
      <c r="I23" s="88" t="e">
        <f>IF(G23&gt;2,H23,(H23-(H23-1)*(2*F23/E23-(F23/E23)^2)))</f>
        <v>#DIV/0!</v>
      </c>
      <c r="J23" s="8"/>
      <c r="K23" s="8"/>
      <c r="L23" s="8"/>
    </row>
    <row r="24" spans="1:12" x14ac:dyDescent="0.25"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12" ht="16.5" x14ac:dyDescent="0.3">
      <c r="B25" s="2" t="s">
        <v>50</v>
      </c>
      <c r="C25" s="8"/>
      <c r="D25" s="8"/>
      <c r="E25" s="8"/>
      <c r="F25" s="8"/>
      <c r="G25" s="8"/>
      <c r="H25" s="8"/>
      <c r="I25" s="8"/>
      <c r="J25" s="8"/>
      <c r="K25" s="8"/>
    </row>
    <row r="26" spans="1:12" x14ac:dyDescent="0.25">
      <c r="B26" s="7" t="e">
        <f>4.2*I23*E3/D19*(I11*D3^3/4/C3^2/(2*C3+3*B3))^0.5</f>
        <v>#DIV/0!</v>
      </c>
      <c r="C26" s="8"/>
      <c r="D26" s="8"/>
      <c r="E26" s="8"/>
      <c r="F26" s="8"/>
      <c r="G26" s="8"/>
      <c r="H26" s="8"/>
      <c r="I26" s="8"/>
      <c r="J26" s="8"/>
      <c r="K26" s="8"/>
    </row>
    <row r="28" spans="1:12" ht="16.5" x14ac:dyDescent="0.3">
      <c r="B28" s="2" t="s">
        <v>21</v>
      </c>
      <c r="C28" s="2" t="s">
        <v>10</v>
      </c>
      <c r="D28" s="2" t="s">
        <v>130</v>
      </c>
      <c r="E28" s="2" t="s">
        <v>131</v>
      </c>
    </row>
    <row r="29" spans="1:12" x14ac:dyDescent="0.25">
      <c r="B29" s="6">
        <f>données!G3</f>
        <v>0</v>
      </c>
      <c r="C29" s="12" t="e">
        <f>(B29/B26)^0.5</f>
        <v>#DIV/0!</v>
      </c>
      <c r="D29" t="e">
        <f>IF(C29&lt;0.65,1,(1.47-0.723*C29))</f>
        <v>#DIV/0!</v>
      </c>
      <c r="E29" t="e">
        <f>IF(C29&gt;1.38,0.66/C29,D29)</f>
        <v>#DIV/0!</v>
      </c>
    </row>
    <row r="31" spans="1:12" ht="16.5" x14ac:dyDescent="0.3">
      <c r="B31" s="7" t="s">
        <v>12</v>
      </c>
      <c r="C31" s="14" t="s">
        <v>56</v>
      </c>
      <c r="E31" t="s">
        <v>146</v>
      </c>
    </row>
    <row r="32" spans="1:12" x14ac:dyDescent="0.25">
      <c r="B32" s="89" t="e">
        <f>E29</f>
        <v>#DIV/0!</v>
      </c>
      <c r="C32" s="15" t="e">
        <f>B32*données!E3</f>
        <v>#DIV/0!</v>
      </c>
      <c r="E32" t="e">
        <f>B29/'largeur_eff_semelle (3)'!K5/'largeur_eff_semelle (3)'!J5</f>
        <v>#DIV/0!</v>
      </c>
      <c r="G32" t="e">
        <f>B32*E32</f>
        <v>#DIV/0!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7"/>
  <sheetViews>
    <sheetView workbookViewId="0">
      <selection activeCell="G4" sqref="G4"/>
    </sheetView>
  </sheetViews>
  <sheetFormatPr baseColWidth="10" defaultRowHeight="15" x14ac:dyDescent="0.25"/>
  <cols>
    <col min="6" max="6" width="11.42578125" customWidth="1"/>
  </cols>
  <sheetData>
    <row r="2" spans="2:9" ht="16.5" x14ac:dyDescent="0.3">
      <c r="B2" s="2" t="s">
        <v>0</v>
      </c>
      <c r="C2" s="2" t="s">
        <v>2</v>
      </c>
      <c r="D2" s="2" t="s">
        <v>21</v>
      </c>
      <c r="E2" s="46" t="s">
        <v>78</v>
      </c>
      <c r="F2" s="45" t="s">
        <v>77</v>
      </c>
      <c r="G2" s="2" t="s">
        <v>82</v>
      </c>
      <c r="H2" s="2" t="s">
        <v>33</v>
      </c>
      <c r="I2" s="8"/>
    </row>
    <row r="3" spans="2:9" x14ac:dyDescent="0.25">
      <c r="B3" s="2">
        <f>données!E3</f>
        <v>0</v>
      </c>
      <c r="C3" s="7">
        <f>données!H3</f>
        <v>0</v>
      </c>
      <c r="D3" s="51">
        <f>données!G3</f>
        <v>0</v>
      </c>
      <c r="E3" s="12">
        <v>1</v>
      </c>
      <c r="F3" s="12" t="e">
        <f>MIN(D3,D3*(données!$J$30-'résistance_section (2)'!H31)/'résistance_section (2)'!H31)</f>
        <v>#DIV/0!</v>
      </c>
      <c r="G3" s="7" t="e">
        <f>données!N3-'résistance_section (2)'!H31</f>
        <v>#DIV/0!</v>
      </c>
      <c r="H3" s="2" t="e">
        <f>G3/SIN(données!B3)-données!C18</f>
        <v>#DIV/0!</v>
      </c>
      <c r="I3" s="8"/>
    </row>
    <row r="4" spans="2:9" x14ac:dyDescent="0.25">
      <c r="B4" s="8"/>
      <c r="C4" s="8"/>
      <c r="D4" s="8"/>
      <c r="E4" s="8"/>
      <c r="F4" s="8"/>
      <c r="G4" s="8"/>
      <c r="H4" s="8"/>
    </row>
    <row r="5" spans="2:9" ht="16.5" x14ac:dyDescent="0.3">
      <c r="B5" s="2" t="s">
        <v>30</v>
      </c>
      <c r="C5" s="2" t="s">
        <v>31</v>
      </c>
      <c r="D5" s="8"/>
      <c r="E5" s="8"/>
      <c r="F5" s="8"/>
      <c r="G5" s="8"/>
      <c r="H5" s="8"/>
    </row>
    <row r="6" spans="2:9" x14ac:dyDescent="0.25">
      <c r="B6" s="87" t="e">
        <f>0.95*B3*(C3/F3/E3)^0.5</f>
        <v>#DIV/0!</v>
      </c>
      <c r="C6" s="87" t="e">
        <f>B6</f>
        <v>#DIV/0!</v>
      </c>
      <c r="D6" s="8" t="s">
        <v>83</v>
      </c>
      <c r="E6" s="8" t="e">
        <f>H3</f>
        <v>#DIV/0!</v>
      </c>
      <c r="F6" s="8"/>
      <c r="G6" s="90" t="s">
        <v>132</v>
      </c>
      <c r="H6" s="8"/>
    </row>
    <row r="7" spans="2:9" x14ac:dyDescent="0.25">
      <c r="B7" s="8"/>
      <c r="C7" s="8"/>
      <c r="D7" s="8"/>
      <c r="E7" s="8"/>
      <c r="F7" s="8"/>
      <c r="G7" s="8"/>
      <c r="H7" s="8"/>
    </row>
    <row r="8" spans="2:9" x14ac:dyDescent="0.25">
      <c r="B8" s="91" t="s">
        <v>9</v>
      </c>
      <c r="C8" s="92"/>
      <c r="D8" s="92"/>
      <c r="E8" s="92"/>
      <c r="F8" s="8"/>
      <c r="G8" s="8"/>
      <c r="H8" s="8"/>
    </row>
    <row r="9" spans="2:9" x14ac:dyDescent="0.25">
      <c r="B9" s="8"/>
      <c r="C9" s="8"/>
      <c r="D9" s="8"/>
      <c r="E9" s="8"/>
      <c r="F9" s="8"/>
      <c r="G9" s="8"/>
      <c r="H9" s="8"/>
    </row>
    <row r="10" spans="2:9" ht="18.75" x14ac:dyDescent="0.3">
      <c r="B10" s="14" t="s">
        <v>5</v>
      </c>
      <c r="C10" s="14" t="s">
        <v>44</v>
      </c>
      <c r="D10" s="14" t="s">
        <v>47</v>
      </c>
      <c r="E10" s="14" t="s">
        <v>45</v>
      </c>
      <c r="F10" s="14" t="s">
        <v>48</v>
      </c>
      <c r="G10" s="14" t="s">
        <v>32</v>
      </c>
      <c r="H10" s="8"/>
    </row>
    <row r="11" spans="2:9" x14ac:dyDescent="0.25">
      <c r="B11" s="48">
        <v>1</v>
      </c>
      <c r="C11" s="49">
        <f>largeur_eff_semelle!O10</f>
        <v>0</v>
      </c>
      <c r="D11" s="49">
        <f>C11*$B$3</f>
        <v>0</v>
      </c>
      <c r="E11" s="49">
        <v>0</v>
      </c>
      <c r="F11" s="49">
        <f>D11*E11</f>
        <v>0</v>
      </c>
      <c r="G11" s="52"/>
      <c r="H11" s="53"/>
    </row>
    <row r="12" spans="2:9" x14ac:dyDescent="0.25">
      <c r="B12" s="48">
        <v>2</v>
      </c>
      <c r="C12" s="49">
        <f>données!C7</f>
        <v>0</v>
      </c>
      <c r="D12" s="49">
        <f>C12*$B$3</f>
        <v>0</v>
      </c>
      <c r="E12" s="48">
        <f>données!D7/2</f>
        <v>0</v>
      </c>
      <c r="F12" s="49">
        <f>D12*E12</f>
        <v>0</v>
      </c>
      <c r="G12" s="52"/>
      <c r="H12" s="53"/>
    </row>
    <row r="13" spans="2:9" x14ac:dyDescent="0.25">
      <c r="B13" s="48">
        <v>3</v>
      </c>
      <c r="C13" s="49">
        <f>données!C8</f>
        <v>0</v>
      </c>
      <c r="D13" s="49">
        <f>C13*$B$3</f>
        <v>0</v>
      </c>
      <c r="E13" s="48">
        <f>données!D8/2</f>
        <v>0</v>
      </c>
      <c r="F13" s="49">
        <f>D13*E13</f>
        <v>0</v>
      </c>
      <c r="G13" s="52"/>
      <c r="H13" s="53"/>
    </row>
    <row r="14" spans="2:9" x14ac:dyDescent="0.25">
      <c r="B14" s="48">
        <v>4</v>
      </c>
      <c r="C14" s="49" t="e">
        <f>largeur_eff_semelle!O5</f>
        <v>#DIV/0!</v>
      </c>
      <c r="D14" s="49" t="e">
        <f>C14*$B$3</f>
        <v>#DIV/0!</v>
      </c>
      <c r="E14" s="49">
        <v>0</v>
      </c>
      <c r="F14" s="49" t="e">
        <f>D14*E14</f>
        <v>#DIV/0!</v>
      </c>
      <c r="G14" s="53"/>
      <c r="H14" s="53"/>
    </row>
    <row r="15" spans="2:9" x14ac:dyDescent="0.25">
      <c r="B15" s="48">
        <v>5</v>
      </c>
      <c r="C15" s="49" t="e">
        <f>largeur_eff_semelle!O5</f>
        <v>#DIV/0!</v>
      </c>
      <c r="D15" s="49" t="e">
        <f t="shared" ref="D15:D20" si="0">C15*$B$3</f>
        <v>#DIV/0!</v>
      </c>
      <c r="E15" s="49">
        <f>F8/2</f>
        <v>0</v>
      </c>
      <c r="F15" s="49" t="e">
        <f t="shared" ref="F15:F20" si="1">D15*E15</f>
        <v>#DIV/0!</v>
      </c>
      <c r="G15" s="53"/>
      <c r="H15" s="53"/>
    </row>
    <row r="16" spans="2:9" x14ac:dyDescent="0.25">
      <c r="B16" s="48">
        <v>6</v>
      </c>
      <c r="C16" s="49">
        <f>données!C10</f>
        <v>0</v>
      </c>
      <c r="D16" s="49">
        <f t="shared" si="0"/>
        <v>0</v>
      </c>
      <c r="E16" s="54">
        <f>données!D10/2</f>
        <v>0</v>
      </c>
      <c r="F16" s="49">
        <f t="shared" si="1"/>
        <v>0</v>
      </c>
      <c r="G16" s="53"/>
      <c r="H16" s="53"/>
    </row>
    <row r="17" spans="2:8" x14ac:dyDescent="0.25">
      <c r="B17" s="48">
        <v>7</v>
      </c>
      <c r="C17" s="49">
        <f>données!C11</f>
        <v>0</v>
      </c>
      <c r="D17" s="49">
        <f t="shared" si="0"/>
        <v>0</v>
      </c>
      <c r="E17" s="49">
        <f>données!D10+données!D11/2</f>
        <v>0</v>
      </c>
      <c r="F17" s="49">
        <f t="shared" si="1"/>
        <v>0</v>
      </c>
      <c r="G17" s="53"/>
      <c r="H17" s="53"/>
    </row>
    <row r="18" spans="2:8" x14ac:dyDescent="0.25">
      <c r="B18" s="48">
        <v>8</v>
      </c>
      <c r="C18" s="55">
        <f>données!C12</f>
        <v>0</v>
      </c>
      <c r="D18" s="49">
        <f>C18*$B$3</f>
        <v>0</v>
      </c>
      <c r="E18" s="49">
        <f>données!D10+données!D11+données!D12/2</f>
        <v>0</v>
      </c>
      <c r="F18" s="49">
        <f t="shared" si="1"/>
        <v>0</v>
      </c>
      <c r="G18" s="53"/>
      <c r="H18" s="53"/>
    </row>
    <row r="19" spans="2:8" x14ac:dyDescent="0.25">
      <c r="B19" s="48">
        <v>9</v>
      </c>
      <c r="C19" s="55">
        <f>données!C13</f>
        <v>0</v>
      </c>
      <c r="D19" s="49">
        <f t="shared" si="0"/>
        <v>0</v>
      </c>
      <c r="E19" s="49">
        <f>données!D15</f>
        <v>0</v>
      </c>
      <c r="F19" s="49">
        <f t="shared" si="1"/>
        <v>0</v>
      </c>
      <c r="G19" s="53"/>
      <c r="H19" s="53"/>
    </row>
    <row r="20" spans="2:8" x14ac:dyDescent="0.25">
      <c r="B20" s="48">
        <v>10</v>
      </c>
      <c r="C20" s="55">
        <f>données!C14</f>
        <v>0</v>
      </c>
      <c r="D20" s="49">
        <f t="shared" si="0"/>
        <v>0</v>
      </c>
      <c r="E20" s="49">
        <f>données!D15-données!D14/2</f>
        <v>0</v>
      </c>
      <c r="F20" s="49">
        <f t="shared" si="1"/>
        <v>0</v>
      </c>
      <c r="G20" s="53"/>
      <c r="H20" s="53"/>
    </row>
    <row r="21" spans="2:8" x14ac:dyDescent="0.25">
      <c r="B21" s="48" t="s">
        <v>6</v>
      </c>
      <c r="C21" s="53"/>
      <c r="D21" s="56" t="e">
        <f>SUM(D11:D20)</f>
        <v>#DIV/0!</v>
      </c>
      <c r="E21" s="53"/>
      <c r="F21" s="56" t="e">
        <f>SUM(F11:F20)</f>
        <v>#DIV/0!</v>
      </c>
      <c r="G21" s="56" t="e">
        <f>F21/D21</f>
        <v>#DIV/0!</v>
      </c>
      <c r="H21" s="53"/>
    </row>
    <row r="22" spans="2:8" x14ac:dyDescent="0.25">
      <c r="B22" s="53"/>
      <c r="C22" s="53"/>
      <c r="D22" s="53"/>
      <c r="E22" s="53"/>
      <c r="F22" s="53"/>
      <c r="G22" s="53"/>
      <c r="H22" s="53"/>
    </row>
    <row r="23" spans="2:8" ht="16.5" x14ac:dyDescent="0.3">
      <c r="B23" s="57" t="s">
        <v>84</v>
      </c>
      <c r="C23" s="57" t="s">
        <v>85</v>
      </c>
      <c r="D23" s="53"/>
      <c r="E23" s="53"/>
      <c r="F23" s="53"/>
      <c r="G23" s="53"/>
      <c r="H23" s="58" t="s">
        <v>86</v>
      </c>
    </row>
    <row r="24" spans="2:8" x14ac:dyDescent="0.25">
      <c r="B24" s="56">
        <f>données!D10</f>
        <v>0</v>
      </c>
      <c r="C24" s="56" t="e">
        <f>(1+0.5*B24/G21)*B6</f>
        <v>#DIV/0!</v>
      </c>
      <c r="D24" s="53"/>
      <c r="E24" s="53"/>
      <c r="F24" s="53"/>
      <c r="G24" s="53"/>
      <c r="H24" s="56" t="e">
        <f>D27/(C27+D27)*E27</f>
        <v>#DIV/0!</v>
      </c>
    </row>
    <row r="25" spans="2:8" x14ac:dyDescent="0.25">
      <c r="B25" s="53"/>
      <c r="C25" s="53"/>
      <c r="D25" s="53"/>
      <c r="E25" s="53"/>
      <c r="F25" s="53"/>
      <c r="G25" s="53"/>
      <c r="H25" s="59"/>
    </row>
    <row r="26" spans="2:8" ht="16.5" x14ac:dyDescent="0.3">
      <c r="B26" s="57" t="s">
        <v>87</v>
      </c>
      <c r="C26" s="57" t="s">
        <v>88</v>
      </c>
      <c r="D26" s="57" t="s">
        <v>86</v>
      </c>
      <c r="E26" s="57" t="s">
        <v>89</v>
      </c>
      <c r="F26" s="57" t="s">
        <v>90</v>
      </c>
      <c r="G26" s="58" t="s">
        <v>88</v>
      </c>
      <c r="H26" s="59"/>
    </row>
    <row r="27" spans="2:8" x14ac:dyDescent="0.25">
      <c r="B27" s="56">
        <f>données!F9</f>
        <v>0</v>
      </c>
      <c r="C27" s="56" t="e">
        <f>(1+0.5*(B24+B27)/G21)*B6</f>
        <v>#DIV/0!</v>
      </c>
      <c r="D27" s="56" t="e">
        <f>1.5*B6</f>
        <v>#DIV/0!</v>
      </c>
      <c r="E27" s="56" t="e">
        <f>(G21-(données!D15-données!D12))/SIN(données!D3)</f>
        <v>#DIV/0!</v>
      </c>
      <c r="F27" s="56" t="e">
        <f>C27+D27</f>
        <v>#DIV/0!</v>
      </c>
      <c r="G27" s="56" t="e">
        <f>C27/(C27+D27)*E27</f>
        <v>#DIV/0!</v>
      </c>
      <c r="H27" s="59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61"/>
  <sheetViews>
    <sheetView zoomScale="125" zoomScaleNormal="125" zoomScalePageLayoutView="125" workbookViewId="0">
      <selection activeCell="L3" sqref="L3"/>
    </sheetView>
  </sheetViews>
  <sheetFormatPr baseColWidth="10" defaultRowHeight="15" x14ac:dyDescent="0.25"/>
  <cols>
    <col min="2" max="2" width="12.7109375" customWidth="1"/>
    <col min="10" max="10" width="10.42578125" customWidth="1"/>
  </cols>
  <sheetData>
    <row r="2" spans="1:29" ht="16.5" x14ac:dyDescent="0.3">
      <c r="B2" s="2" t="s">
        <v>19</v>
      </c>
      <c r="C2" s="2" t="s">
        <v>18</v>
      </c>
      <c r="D2" s="2" t="s">
        <v>20</v>
      </c>
      <c r="E2" s="2" t="s">
        <v>0</v>
      </c>
      <c r="F2" s="2" t="s">
        <v>202</v>
      </c>
      <c r="G2" s="2" t="s">
        <v>21</v>
      </c>
      <c r="H2" s="2" t="s">
        <v>2</v>
      </c>
      <c r="I2" s="11" t="s">
        <v>206</v>
      </c>
      <c r="J2" s="11" t="s">
        <v>204</v>
      </c>
      <c r="K2" s="11" t="s">
        <v>205</v>
      </c>
      <c r="L2" s="11" t="s">
        <v>207</v>
      </c>
      <c r="M2" s="11" t="s">
        <v>94</v>
      </c>
      <c r="N2" s="11" t="s">
        <v>112</v>
      </c>
      <c r="O2" s="11" t="s">
        <v>57</v>
      </c>
      <c r="P2" s="1" t="s">
        <v>147</v>
      </c>
      <c r="Q2" s="184"/>
      <c r="R2" s="184"/>
      <c r="S2" s="184"/>
      <c r="U2" s="184"/>
      <c r="V2" s="184"/>
      <c r="W2" s="184"/>
      <c r="Y2" s="194"/>
      <c r="Z2" s="184"/>
      <c r="AA2" s="184"/>
      <c r="AB2" s="184"/>
      <c r="AC2" s="184"/>
    </row>
    <row r="3" spans="1:29" x14ac:dyDescent="0.25">
      <c r="B3" s="2" t="e">
        <f>data!Q14</f>
        <v>#DIV/0!</v>
      </c>
      <c r="C3" s="2" t="e">
        <f>data!P14</f>
        <v>#DIV/0!</v>
      </c>
      <c r="D3" s="2" t="e">
        <f>data!R14</f>
        <v>#DIV/0!</v>
      </c>
      <c r="E3" s="201">
        <f>data!E14</f>
        <v>0</v>
      </c>
      <c r="F3" s="7">
        <f>data!F14</f>
        <v>0</v>
      </c>
      <c r="G3" s="6">
        <f>data!I14</f>
        <v>0</v>
      </c>
      <c r="H3" s="6">
        <f>data!J14</f>
        <v>0</v>
      </c>
      <c r="I3" s="11">
        <v>0</v>
      </c>
      <c r="J3" s="13">
        <f>IF(data!C14=0,0,data!C14+$F$3/2)</f>
        <v>0</v>
      </c>
      <c r="K3" s="13">
        <f>IF(data!D14=0,0,data!D14+$F$3/2)</f>
        <v>0</v>
      </c>
      <c r="L3" s="13">
        <f>IF(data!B14=0,0,data!B14+$F$3/2)</f>
        <v>0</v>
      </c>
      <c r="M3" s="13">
        <f>data!G14</f>
        <v>0</v>
      </c>
      <c r="N3" s="13">
        <f>data!H14</f>
        <v>0</v>
      </c>
      <c r="O3" s="193" t="e">
        <f>N3/SIN(B3)-2*C18</f>
        <v>#DIV/0!</v>
      </c>
      <c r="P3" s="1" t="str">
        <f>data!K14</f>
        <v/>
      </c>
      <c r="Q3" s="184"/>
      <c r="R3" s="184"/>
      <c r="S3" s="184"/>
      <c r="U3" s="184"/>
      <c r="V3" s="184"/>
      <c r="W3" s="184"/>
      <c r="Y3" s="194"/>
      <c r="Z3" s="184"/>
      <c r="AA3" s="184"/>
      <c r="AB3" s="184"/>
      <c r="AC3" s="184"/>
    </row>
    <row r="4" spans="1:29" x14ac:dyDescent="0.25">
      <c r="B4" s="8"/>
      <c r="C4" s="8"/>
      <c r="D4" s="8"/>
      <c r="E4" s="8"/>
      <c r="F4" s="8"/>
      <c r="G4" s="8"/>
      <c r="Q4" s="184"/>
      <c r="R4" s="184"/>
      <c r="S4" s="184"/>
    </row>
    <row r="5" spans="1:29" ht="16.5" x14ac:dyDescent="0.3">
      <c r="A5" t="s">
        <v>63</v>
      </c>
      <c r="B5" s="2" t="s">
        <v>15</v>
      </c>
      <c r="C5" s="2" t="s">
        <v>54</v>
      </c>
      <c r="D5" s="2" t="s">
        <v>52</v>
      </c>
      <c r="E5" s="2" t="s">
        <v>53</v>
      </c>
      <c r="F5" s="40"/>
      <c r="G5" s="40"/>
      <c r="H5" s="9"/>
      <c r="I5" s="14"/>
      <c r="J5" s="14"/>
      <c r="K5" s="14"/>
      <c r="L5" s="14"/>
      <c r="M5" s="23"/>
      <c r="N5" s="14"/>
    </row>
    <row r="6" spans="1:29" x14ac:dyDescent="0.25">
      <c r="B6" s="2">
        <v>1</v>
      </c>
      <c r="C6" s="7">
        <f>(D6^2+E6^2)^0.5</f>
        <v>0</v>
      </c>
      <c r="D6" s="7">
        <f>data!D17</f>
        <v>0</v>
      </c>
      <c r="E6" s="7">
        <f>data!E17</f>
        <v>0</v>
      </c>
      <c r="F6" s="8"/>
      <c r="G6" s="7"/>
      <c r="H6" s="7"/>
      <c r="I6" s="3"/>
      <c r="J6" s="3"/>
      <c r="K6" s="3"/>
      <c r="L6" s="60"/>
      <c r="M6" s="139"/>
      <c r="N6" s="56"/>
    </row>
    <row r="7" spans="1:29" x14ac:dyDescent="0.25">
      <c r="B7" s="2">
        <v>2</v>
      </c>
      <c r="C7" s="7">
        <f t="shared" ref="C7:C13" si="0">(D7^2+E7^2)^0.5</f>
        <v>0</v>
      </c>
      <c r="D7" s="7">
        <f>data!D18</f>
        <v>0</v>
      </c>
      <c r="E7" s="7">
        <f>data!E18</f>
        <v>0</v>
      </c>
      <c r="F7" s="8"/>
      <c r="G7" s="7"/>
      <c r="H7" s="7"/>
      <c r="I7" s="3"/>
      <c r="J7" s="3"/>
      <c r="K7" s="3"/>
      <c r="L7" s="60"/>
      <c r="M7" s="60"/>
      <c r="N7" s="56"/>
    </row>
    <row r="8" spans="1:29" x14ac:dyDescent="0.25">
      <c r="B8" s="2">
        <v>3</v>
      </c>
      <c r="C8" s="7">
        <f t="shared" si="0"/>
        <v>0</v>
      </c>
      <c r="D8" s="7">
        <f>data!D19</f>
        <v>0</v>
      </c>
      <c r="E8" s="7">
        <f>data!E19</f>
        <v>0</v>
      </c>
      <c r="F8" s="8"/>
      <c r="G8" s="7"/>
      <c r="H8" s="7"/>
      <c r="I8" s="3"/>
      <c r="J8" s="3"/>
      <c r="K8" s="3"/>
      <c r="L8" s="60"/>
      <c r="M8" s="60"/>
      <c r="N8" s="56"/>
    </row>
    <row r="9" spans="1:29" x14ac:dyDescent="0.25">
      <c r="B9" s="2">
        <v>4</v>
      </c>
      <c r="C9" s="7">
        <f t="shared" si="0"/>
        <v>0</v>
      </c>
      <c r="D9" s="7">
        <f>data!D20</f>
        <v>0</v>
      </c>
      <c r="E9" s="7">
        <f>data!E20</f>
        <v>0</v>
      </c>
      <c r="F9" s="10"/>
      <c r="G9" s="7"/>
      <c r="H9" s="7"/>
      <c r="I9" s="3"/>
      <c r="J9" s="3"/>
      <c r="K9" s="3"/>
      <c r="L9" s="60"/>
      <c r="M9" s="139"/>
      <c r="N9" s="56"/>
    </row>
    <row r="10" spans="1:29" x14ac:dyDescent="0.25">
      <c r="B10" s="2">
        <v>5</v>
      </c>
      <c r="C10" s="7">
        <f t="shared" si="0"/>
        <v>0</v>
      </c>
      <c r="D10" s="7">
        <f>data!D21</f>
        <v>0</v>
      </c>
      <c r="E10" s="7">
        <f>data!E21</f>
        <v>0</v>
      </c>
      <c r="F10" s="10"/>
      <c r="G10" s="7"/>
      <c r="H10" s="7"/>
      <c r="I10" s="3"/>
      <c r="J10" s="3"/>
      <c r="K10" s="3"/>
      <c r="L10" s="60"/>
      <c r="M10" s="60"/>
      <c r="N10" s="56"/>
    </row>
    <row r="11" spans="1:29" x14ac:dyDescent="0.25">
      <c r="B11" s="2">
        <v>6</v>
      </c>
      <c r="C11" s="7">
        <f t="shared" si="0"/>
        <v>0</v>
      </c>
      <c r="D11" s="7">
        <f>data!D22</f>
        <v>0</v>
      </c>
      <c r="E11" s="7">
        <f>data!E22</f>
        <v>0</v>
      </c>
      <c r="F11" s="10"/>
      <c r="G11" s="7"/>
      <c r="H11" s="7"/>
      <c r="I11" s="3"/>
      <c r="J11" s="3"/>
      <c r="K11" s="3"/>
      <c r="L11" s="60"/>
      <c r="M11" s="60"/>
      <c r="N11" s="56"/>
    </row>
    <row r="12" spans="1:29" x14ac:dyDescent="0.25">
      <c r="B12" s="2">
        <v>7</v>
      </c>
      <c r="C12" s="7">
        <f t="shared" si="0"/>
        <v>0</v>
      </c>
      <c r="D12" s="7">
        <f>data!D23</f>
        <v>0</v>
      </c>
      <c r="E12" s="7">
        <f>data!E23</f>
        <v>0</v>
      </c>
      <c r="F12" s="10"/>
      <c r="G12" s="7"/>
      <c r="H12" s="7"/>
      <c r="I12" s="3"/>
      <c r="J12" s="3"/>
      <c r="K12" s="3"/>
      <c r="L12" s="60"/>
      <c r="M12" s="60"/>
      <c r="N12" s="56"/>
    </row>
    <row r="13" spans="1:29" x14ac:dyDescent="0.25">
      <c r="B13" s="2">
        <v>8</v>
      </c>
      <c r="C13" s="7">
        <f t="shared" si="0"/>
        <v>0</v>
      </c>
      <c r="D13" s="7">
        <f>data!D24</f>
        <v>0</v>
      </c>
      <c r="E13" s="7">
        <f>data!E24</f>
        <v>0</v>
      </c>
      <c r="F13" s="10"/>
      <c r="G13" s="10"/>
      <c r="I13" s="3"/>
      <c r="J13" s="3"/>
      <c r="K13" s="3"/>
      <c r="L13" s="3"/>
      <c r="M13" s="41"/>
      <c r="N13" s="7"/>
    </row>
    <row r="14" spans="1:29" x14ac:dyDescent="0.25">
      <c r="B14" s="2">
        <v>9</v>
      </c>
      <c r="C14" s="7"/>
      <c r="D14" s="7"/>
      <c r="E14" s="7"/>
      <c r="F14" s="10"/>
      <c r="G14" s="8"/>
      <c r="I14" s="3"/>
      <c r="J14" s="3"/>
      <c r="K14" s="3"/>
      <c r="L14" s="3"/>
      <c r="M14" s="3"/>
      <c r="N14" s="7"/>
    </row>
    <row r="15" spans="1:29" x14ac:dyDescent="0.25">
      <c r="B15" s="8"/>
      <c r="C15" s="8"/>
      <c r="D15" s="10">
        <f>D10+D11</f>
        <v>0</v>
      </c>
      <c r="E15" s="10">
        <f>E6+E7+E8+E9+E10+E11+E12+E13+E14</f>
        <v>0</v>
      </c>
      <c r="F15" s="8"/>
      <c r="G15" s="8"/>
      <c r="I15" s="5"/>
      <c r="K15" s="5"/>
      <c r="L15" s="5"/>
      <c r="N15" s="5"/>
    </row>
    <row r="16" spans="1:29" x14ac:dyDescent="0.25">
      <c r="B16" s="8"/>
      <c r="C16" s="8"/>
      <c r="D16" s="10"/>
      <c r="E16" s="10"/>
      <c r="F16" s="8"/>
      <c r="G16" s="8"/>
      <c r="I16" s="5"/>
      <c r="K16" s="5"/>
      <c r="L16" s="5"/>
      <c r="N16" s="5"/>
    </row>
    <row r="17" spans="1:14" x14ac:dyDescent="0.25">
      <c r="B17" s="62" t="s">
        <v>134</v>
      </c>
      <c r="C17" s="8" t="e">
        <f>B3</f>
        <v>#DIV/0!</v>
      </c>
      <c r="D17" s="10"/>
      <c r="E17" s="104" t="s">
        <v>126</v>
      </c>
      <c r="F17" s="105" t="e">
        <f>C3</f>
        <v>#DIV/0!</v>
      </c>
      <c r="G17" s="8"/>
      <c r="H17" s="62" t="s">
        <v>127</v>
      </c>
      <c r="I17" s="8" t="e">
        <f>D3</f>
        <v>#DIV/0!</v>
      </c>
      <c r="K17" s="62" t="s">
        <v>128</v>
      </c>
      <c r="L17" s="8" t="e">
        <f>2*D3</f>
        <v>#DIV/0!</v>
      </c>
    </row>
    <row r="18" spans="1:14" x14ac:dyDescent="0.25">
      <c r="B18" s="35" t="s">
        <v>186</v>
      </c>
      <c r="C18" s="38" t="e">
        <f>J3*(TAN(C17/2)-SIN(C17/2))</f>
        <v>#DIV/0!</v>
      </c>
      <c r="D18" s="8"/>
      <c r="E18" s="106" t="s">
        <v>192</v>
      </c>
      <c r="F18" s="38" t="e">
        <f>$I$3*(TAN(F17/2)-SIN(F17/2))</f>
        <v>#DIV/0!</v>
      </c>
      <c r="G18" s="8"/>
      <c r="H18" s="35" t="s">
        <v>68</v>
      </c>
      <c r="I18" s="38" t="e">
        <f>$L$3*(TAN(I17/2)-SIN(I17/2))</f>
        <v>#DIV/0!</v>
      </c>
      <c r="K18" s="35" t="s">
        <v>71</v>
      </c>
      <c r="L18" s="38" t="e">
        <f>$I$3*(TAN(L17/2)-SIN(L17/2))</f>
        <v>#DIV/0!</v>
      </c>
    </row>
    <row r="19" spans="1:14" x14ac:dyDescent="0.25">
      <c r="B19" s="36" t="s">
        <v>187</v>
      </c>
      <c r="C19" s="39" t="e">
        <f>J3*SIN(C17/2)</f>
        <v>#DIV/0!</v>
      </c>
      <c r="D19" s="8"/>
      <c r="E19" s="107" t="s">
        <v>64</v>
      </c>
      <c r="F19" s="39" t="e">
        <f>$I$3*SIN(F17/2)</f>
        <v>#DIV/0!</v>
      </c>
      <c r="G19" s="8"/>
      <c r="H19" s="36" t="s">
        <v>67</v>
      </c>
      <c r="I19" s="39" t="e">
        <f>$L$3*SIN(I17/2)</f>
        <v>#DIV/0!</v>
      </c>
      <c r="K19" s="36" t="s">
        <v>72</v>
      </c>
      <c r="L19" s="39" t="e">
        <f>$I$3*SIN(L17/2)</f>
        <v>#DIV/0!</v>
      </c>
    </row>
    <row r="20" spans="1:14" x14ac:dyDescent="0.25">
      <c r="B20" s="195"/>
      <c r="C20" s="143"/>
      <c r="D20" s="99"/>
      <c r="E20" s="109" t="s">
        <v>58</v>
      </c>
      <c r="F20" s="110" t="e">
        <f>H9-F18</f>
        <v>#DIV/0!</v>
      </c>
      <c r="G20" s="99"/>
      <c r="H20" s="97" t="s">
        <v>58</v>
      </c>
      <c r="I20" s="98" t="e">
        <f>K9-I18</f>
        <v>#DIV/0!</v>
      </c>
      <c r="J20" s="100"/>
      <c r="K20" s="97" t="s">
        <v>58</v>
      </c>
      <c r="L20" s="98" t="e">
        <f>N9-L18</f>
        <v>#DIV/0!</v>
      </c>
    </row>
    <row r="21" spans="1:14" x14ac:dyDescent="0.25">
      <c r="B21" s="35" t="s">
        <v>188</v>
      </c>
      <c r="C21" s="38" t="e">
        <f>$K$3*(TAN(C$17/2)-SIN(C17/2))</f>
        <v>#DIV/0!</v>
      </c>
      <c r="D21" s="99"/>
      <c r="E21" s="109" t="s">
        <v>59</v>
      </c>
      <c r="F21" s="110" t="e">
        <f>H13-F18</f>
        <v>#DIV/0!</v>
      </c>
      <c r="G21" s="99"/>
      <c r="H21" s="97" t="s">
        <v>59</v>
      </c>
      <c r="I21" s="98" t="e">
        <f>K13-I18</f>
        <v>#DIV/0!</v>
      </c>
      <c r="J21" s="100"/>
      <c r="K21" s="97" t="s">
        <v>59</v>
      </c>
      <c r="L21" s="98" t="e">
        <f>N13-L18</f>
        <v>#DIV/0!</v>
      </c>
    </row>
    <row r="22" spans="1:14" x14ac:dyDescent="0.25">
      <c r="B22" s="36" t="s">
        <v>189</v>
      </c>
      <c r="C22" s="39" t="e">
        <f>$K$3*SIN(C$17/2)</f>
        <v>#DIV/0!</v>
      </c>
      <c r="D22" s="99"/>
      <c r="E22" s="109" t="s">
        <v>57</v>
      </c>
      <c r="F22" s="110" t="e">
        <f>(((H10+H11+H12)^2+G15^2)^0.5-2*F18)</f>
        <v>#DIV/0!</v>
      </c>
      <c r="G22" s="99"/>
      <c r="H22" s="97" t="s">
        <v>57</v>
      </c>
      <c r="I22" s="98" t="e">
        <f>(((K10+K11+K12)^2+J15^2)^0.5-2*I18)</f>
        <v>#DIV/0!</v>
      </c>
      <c r="J22" s="100"/>
      <c r="K22" s="97" t="s">
        <v>57</v>
      </c>
      <c r="L22" s="98" t="e">
        <f>(((N10+N11+N12)^2+M15^2)^0.5-2*L18)</f>
        <v>#DIV/0!</v>
      </c>
    </row>
    <row r="23" spans="1:14" x14ac:dyDescent="0.25">
      <c r="B23" s="37" t="s">
        <v>190</v>
      </c>
      <c r="C23" s="39" t="e">
        <f>$K$3*C$17</f>
        <v>#DIV/0!</v>
      </c>
      <c r="D23" s="99"/>
      <c r="E23" s="109" t="s">
        <v>60</v>
      </c>
      <c r="F23" s="111" t="e">
        <f>F20-F19</f>
        <v>#DIV/0!</v>
      </c>
      <c r="G23" s="99"/>
      <c r="H23" s="97" t="s">
        <v>60</v>
      </c>
      <c r="I23" s="101" t="e">
        <f>I20-I19</f>
        <v>#DIV/0!</v>
      </c>
      <c r="J23" s="100"/>
      <c r="K23" s="97" t="s">
        <v>60</v>
      </c>
      <c r="L23" s="101" t="e">
        <f>L20-L19</f>
        <v>#DIV/0!</v>
      </c>
    </row>
    <row r="24" spans="1:14" x14ac:dyDescent="0.25">
      <c r="B24" s="37" t="s">
        <v>191</v>
      </c>
      <c r="C24" s="39" t="e">
        <f>$K$3*(1-SIN(C$17)/C$17)</f>
        <v>#DIV/0!</v>
      </c>
      <c r="D24" s="99"/>
      <c r="E24" s="109" t="s">
        <v>61</v>
      </c>
      <c r="F24" s="112" t="e">
        <f>F21-F19</f>
        <v>#DIV/0!</v>
      </c>
      <c r="G24" s="99"/>
      <c r="H24" s="97" t="s">
        <v>61</v>
      </c>
      <c r="I24" s="102" t="e">
        <f>I21-I19</f>
        <v>#DIV/0!</v>
      </c>
      <c r="J24" s="100"/>
      <c r="K24" s="97" t="s">
        <v>61</v>
      </c>
      <c r="L24" s="102" t="e">
        <f>L21-L19</f>
        <v>#DIV/0!</v>
      </c>
    </row>
    <row r="25" spans="1:14" x14ac:dyDescent="0.25">
      <c r="B25" s="196"/>
      <c r="C25" s="197"/>
      <c r="D25" s="99"/>
      <c r="E25" s="113" t="s">
        <v>62</v>
      </c>
      <c r="F25" s="111" t="e">
        <f>F22-2*$D$10</f>
        <v>#DIV/0!</v>
      </c>
      <c r="G25" s="99"/>
      <c r="H25" s="103" t="s">
        <v>62</v>
      </c>
      <c r="I25" s="101" t="e">
        <f>I22-2*$D$10</f>
        <v>#DIV/0!</v>
      </c>
      <c r="J25" s="100"/>
      <c r="K25" s="103" t="s">
        <v>62</v>
      </c>
      <c r="L25" s="101" t="e">
        <f>L22-2*$D$10</f>
        <v>#DIV/0!</v>
      </c>
    </row>
    <row r="26" spans="1:14" x14ac:dyDescent="0.25">
      <c r="B26" s="37" t="s">
        <v>135</v>
      </c>
      <c r="C26" s="39" t="e">
        <f>$J$3*C17</f>
        <v>#DIV/0!</v>
      </c>
      <c r="D26" s="8"/>
      <c r="E26" s="108" t="s">
        <v>65</v>
      </c>
      <c r="F26" s="39" t="e">
        <f>$I$3*F17</f>
        <v>#DIV/0!</v>
      </c>
      <c r="G26" s="8"/>
      <c r="H26" s="37" t="s">
        <v>69</v>
      </c>
      <c r="I26" s="39" t="e">
        <f>$L$3*I17</f>
        <v>#DIV/0!</v>
      </c>
      <c r="K26" s="37" t="s">
        <v>73</v>
      </c>
      <c r="L26" s="39" t="e">
        <f>$I$3*L17</f>
        <v>#DIV/0!</v>
      </c>
    </row>
    <row r="27" spans="1:14" x14ac:dyDescent="0.25">
      <c r="B27" s="37" t="s">
        <v>136</v>
      </c>
      <c r="C27" s="39" t="e">
        <f>$J$3*(1-SIN(C17)/C17)</f>
        <v>#DIV/0!</v>
      </c>
      <c r="D27" s="8"/>
      <c r="E27" s="108" t="s">
        <v>66</v>
      </c>
      <c r="F27" s="39" t="e">
        <f>$I$3*(1-SIN(F17)/F17)</f>
        <v>#DIV/0!</v>
      </c>
      <c r="G27" s="8"/>
      <c r="H27" s="37" t="s">
        <v>70</v>
      </c>
      <c r="I27" s="39" t="e">
        <f>$L$3*(1-SIN(I17)/I17)</f>
        <v>#DIV/0!</v>
      </c>
      <c r="K27" s="37" t="s">
        <v>74</v>
      </c>
      <c r="L27" s="39" t="e">
        <f>$I$3*(1-SIN(L17)/L17)</f>
        <v>#DIV/0!</v>
      </c>
    </row>
    <row r="28" spans="1:14" x14ac:dyDescent="0.25">
      <c r="B28" s="37"/>
      <c r="C28" s="39"/>
      <c r="D28" s="8"/>
      <c r="E28" s="8"/>
      <c r="F28" s="8"/>
      <c r="G28" s="8"/>
    </row>
    <row r="29" spans="1:14" ht="18.75" x14ac:dyDescent="0.3">
      <c r="B29" s="2" t="s">
        <v>15</v>
      </c>
      <c r="C29" s="2" t="s">
        <v>54</v>
      </c>
      <c r="D29" s="2" t="s">
        <v>52</v>
      </c>
      <c r="E29" s="2" t="s">
        <v>53</v>
      </c>
      <c r="F29" s="40"/>
      <c r="G29" s="40"/>
      <c r="H29" s="2" t="s">
        <v>15</v>
      </c>
      <c r="I29" s="14" t="s">
        <v>47</v>
      </c>
      <c r="J29" s="14" t="s">
        <v>45</v>
      </c>
      <c r="K29" s="14" t="s">
        <v>48</v>
      </c>
      <c r="L29" s="14" t="s">
        <v>46</v>
      </c>
      <c r="M29" s="23" t="s">
        <v>8</v>
      </c>
      <c r="N29" s="14" t="s">
        <v>49</v>
      </c>
    </row>
    <row r="30" spans="1:14" x14ac:dyDescent="0.25">
      <c r="A30" s="80">
        <f>(B30^2+C30^2)^0.5</f>
        <v>1</v>
      </c>
      <c r="B30" s="2">
        <v>1</v>
      </c>
      <c r="C30" s="80">
        <f>C6</f>
        <v>0</v>
      </c>
      <c r="D30" s="7"/>
      <c r="E30" s="7"/>
      <c r="F30" s="8"/>
      <c r="G30" s="81" t="s">
        <v>125</v>
      </c>
      <c r="H30" s="2">
        <v>1</v>
      </c>
      <c r="I30" s="144">
        <f>C30*$E$3</f>
        <v>0</v>
      </c>
      <c r="J30" s="145">
        <f>N3-D7</f>
        <v>0</v>
      </c>
      <c r="K30" s="3">
        <f>I30*J30</f>
        <v>0</v>
      </c>
      <c r="L30" s="3" t="e">
        <f>L$45-J30</f>
        <v>#DIV/0!</v>
      </c>
      <c r="M30" s="115">
        <f>E3</f>
        <v>0</v>
      </c>
      <c r="N30" s="7" t="e">
        <f>I30*M30^2/12+I30*L30^2</f>
        <v>#DIV/0!</v>
      </c>
    </row>
    <row r="31" spans="1:14" x14ac:dyDescent="0.25">
      <c r="A31" s="7" t="e">
        <f>$I$26</f>
        <v>#DIV/0!</v>
      </c>
      <c r="B31" s="2">
        <v>2</v>
      </c>
      <c r="C31" s="80">
        <f>C7</f>
        <v>0</v>
      </c>
      <c r="D31" s="7"/>
      <c r="E31" s="7"/>
      <c r="F31" s="8"/>
      <c r="G31" s="8"/>
      <c r="H31" s="2">
        <v>2</v>
      </c>
      <c r="I31" s="144">
        <f t="shared" ref="I31:I42" si="1">C31*$E$3</f>
        <v>0</v>
      </c>
      <c r="J31" s="145">
        <f>N3-D7/2</f>
        <v>0</v>
      </c>
      <c r="K31" s="3">
        <f t="shared" ref="K31:K42" si="2">I31*J31</f>
        <v>0</v>
      </c>
      <c r="L31" s="3" t="e">
        <f t="shared" ref="L31:L42" si="3">L$45-J31</f>
        <v>#DIV/0!</v>
      </c>
      <c r="M31" s="65">
        <f>D7</f>
        <v>0</v>
      </c>
      <c r="N31" s="7" t="e">
        <f t="shared" ref="N31:N32" si="4">I31*M31^2/12+I31*L31^2</f>
        <v>#DIV/0!</v>
      </c>
    </row>
    <row r="32" spans="1:14" x14ac:dyDescent="0.25">
      <c r="A32" s="80" t="e">
        <f>$C$7-$I$18-$I$19-$L$18-$L$19</f>
        <v>#DIV/0!</v>
      </c>
      <c r="B32" s="2">
        <v>3</v>
      </c>
      <c r="C32" s="80" t="e">
        <f>C8-C18-C19-F18-F19</f>
        <v>#DIV/0!</v>
      </c>
      <c r="D32" s="7"/>
      <c r="E32" s="7"/>
      <c r="F32" s="8"/>
      <c r="G32" s="8"/>
      <c r="H32" s="2">
        <v>3</v>
      </c>
      <c r="I32" s="144" t="e">
        <f t="shared" si="1"/>
        <v>#DIV/0!</v>
      </c>
      <c r="J32" s="145">
        <f>N3</f>
        <v>0</v>
      </c>
      <c r="K32" s="3" t="e">
        <f t="shared" si="2"/>
        <v>#DIV/0!</v>
      </c>
      <c r="L32" s="3" t="e">
        <f t="shared" si="3"/>
        <v>#DIV/0!</v>
      </c>
      <c r="M32" s="65">
        <f>E3</f>
        <v>0</v>
      </c>
      <c r="N32" s="7" t="e">
        <f t="shared" si="4"/>
        <v>#DIV/0!</v>
      </c>
    </row>
    <row r="33" spans="1:16" x14ac:dyDescent="0.25">
      <c r="A33" s="7" t="e">
        <f>+$L$26</f>
        <v>#DIV/0!</v>
      </c>
      <c r="B33" s="2">
        <v>4</v>
      </c>
      <c r="C33" s="7" t="e">
        <f>C26</f>
        <v>#DIV/0!</v>
      </c>
      <c r="D33" s="7"/>
      <c r="E33" s="7"/>
      <c r="F33" s="10"/>
      <c r="G33" s="10"/>
      <c r="H33" s="2">
        <v>4</v>
      </c>
      <c r="I33" s="144" t="e">
        <f t="shared" si="1"/>
        <v>#DIV/0!</v>
      </c>
      <c r="J33" s="145" t="e">
        <f>N3-C27</f>
        <v>#DIV/0!</v>
      </c>
      <c r="K33" s="3" t="e">
        <f t="shared" si="2"/>
        <v>#DIV/0!</v>
      </c>
      <c r="L33" s="3" t="e">
        <f t="shared" si="3"/>
        <v>#DIV/0!</v>
      </c>
      <c r="M33" s="65"/>
      <c r="N33" s="83" t="e">
        <f>E3*($I$3^3*(($C$17+SIN($C$17)*COS($C$17))/2-SIN($C$17)^2/$C$17))+I33*L33^2</f>
        <v>#DIV/0!</v>
      </c>
    </row>
    <row r="34" spans="1:16" x14ac:dyDescent="0.25">
      <c r="A34" s="80" t="e">
        <f>$C$7-$I$18-$I$19-$L$18-$L$19</f>
        <v>#DIV/0!</v>
      </c>
      <c r="B34" s="2">
        <v>5</v>
      </c>
      <c r="C34" s="80" t="e">
        <f>C9-C18-C19-C21-C22</f>
        <v>#DIV/0!</v>
      </c>
      <c r="D34" s="7"/>
      <c r="E34" s="7"/>
      <c r="F34" s="10"/>
      <c r="G34" s="10"/>
      <c r="H34" s="2">
        <v>5</v>
      </c>
      <c r="I34" s="144" t="e">
        <f t="shared" si="1"/>
        <v>#DIV/0!</v>
      </c>
      <c r="J34" s="145">
        <f>N3/2</f>
        <v>0</v>
      </c>
      <c r="K34" s="3" t="e">
        <f t="shared" si="2"/>
        <v>#DIV/0!</v>
      </c>
      <c r="L34" s="3" t="e">
        <f t="shared" si="3"/>
        <v>#DIV/0!</v>
      </c>
      <c r="M34" s="65" t="e">
        <f>C34*SIN(C17)</f>
        <v>#DIV/0!</v>
      </c>
      <c r="N34" s="7" t="e">
        <f t="shared" ref="N34:N38" si="5">I34*M34^2/12+I34*L34^2</f>
        <v>#DIV/0!</v>
      </c>
    </row>
    <row r="35" spans="1:16" x14ac:dyDescent="0.25">
      <c r="A35" s="5" t="e">
        <f>$I$26</f>
        <v>#DIV/0!</v>
      </c>
      <c r="B35" s="2">
        <v>6</v>
      </c>
      <c r="C35" s="5" t="e">
        <f>C23</f>
        <v>#DIV/0!</v>
      </c>
      <c r="D35" s="7"/>
      <c r="E35" s="7"/>
      <c r="F35" s="10"/>
      <c r="G35" s="10"/>
      <c r="H35" s="2">
        <v>6</v>
      </c>
      <c r="I35" s="144" t="e">
        <f t="shared" si="1"/>
        <v>#DIV/0!</v>
      </c>
      <c r="J35" s="145" t="e">
        <f>C27</f>
        <v>#DIV/0!</v>
      </c>
      <c r="K35" s="3" t="e">
        <f t="shared" si="2"/>
        <v>#DIV/0!</v>
      </c>
      <c r="L35" s="3" t="e">
        <f t="shared" si="3"/>
        <v>#DIV/0!</v>
      </c>
      <c r="M35" s="65"/>
      <c r="N35" s="83" t="e">
        <f>E3*$I$3^3*(($C$17+SIN($C$17)*COS($C$17))/2-SIN($C$17)^2/$C$17)+I35*L35^2</f>
        <v>#DIV/0!</v>
      </c>
    </row>
    <row r="36" spans="1:16" x14ac:dyDescent="0.25">
      <c r="A36" s="80" t="e">
        <f>(B36^2+C36^2)^0.5</f>
        <v>#DIV/0!</v>
      </c>
      <c r="B36" s="2">
        <v>7</v>
      </c>
      <c r="C36" s="80" t="e">
        <f>C10-I18-I19-C21-C22</f>
        <v>#DIV/0!</v>
      </c>
      <c r="D36" s="7"/>
      <c r="E36" s="7"/>
      <c r="F36" s="10"/>
      <c r="G36" s="10"/>
      <c r="H36" s="2">
        <v>7</v>
      </c>
      <c r="I36" s="144" t="e">
        <f t="shared" si="1"/>
        <v>#DIV/0!</v>
      </c>
      <c r="J36" s="145">
        <f>D10</f>
        <v>0</v>
      </c>
      <c r="K36" s="3" t="e">
        <f t="shared" si="2"/>
        <v>#DIV/0!</v>
      </c>
      <c r="L36" s="3" t="e">
        <f t="shared" si="3"/>
        <v>#DIV/0!</v>
      </c>
      <c r="M36" s="115">
        <f>E3</f>
        <v>0</v>
      </c>
      <c r="N36" s="7" t="e">
        <f>I36*M36^2/12+I36*L36^2</f>
        <v>#DIV/0!</v>
      </c>
    </row>
    <row r="37" spans="1:16" x14ac:dyDescent="0.25">
      <c r="A37" s="7" t="e">
        <f>$C$26</f>
        <v>#DIV/0!</v>
      </c>
      <c r="B37" s="2">
        <v>8</v>
      </c>
      <c r="C37" s="7" t="e">
        <f>I26</f>
        <v>#DIV/0!</v>
      </c>
      <c r="D37" s="7"/>
      <c r="E37" s="7"/>
      <c r="F37" s="10"/>
      <c r="G37" s="10"/>
      <c r="H37" s="2">
        <v>8</v>
      </c>
      <c r="I37" s="144" t="e">
        <f t="shared" si="1"/>
        <v>#DIV/0!</v>
      </c>
      <c r="J37" s="145" t="e">
        <f>I27</f>
        <v>#DIV/0!</v>
      </c>
      <c r="K37" s="3" t="e">
        <f t="shared" si="2"/>
        <v>#DIV/0!</v>
      </c>
      <c r="L37" s="3" t="e">
        <f t="shared" si="3"/>
        <v>#DIV/0!</v>
      </c>
      <c r="M37" s="65"/>
      <c r="N37" s="83" t="e">
        <f>E3*$I$3^3*(($I$17+SIN($I$17)*COS($I$17))/2-SIN($I$17)^2/$I$17)+I37*L37^2</f>
        <v>#DIV/0!</v>
      </c>
    </row>
    <row r="38" spans="1:16" x14ac:dyDescent="0.25">
      <c r="A38" s="80" t="e">
        <f>$D$10/SIN($B$3)-2*$C$18-2*$C$19</f>
        <v>#DIV/0!</v>
      </c>
      <c r="B38" s="2">
        <v>9</v>
      </c>
      <c r="C38" s="80" t="e">
        <f>C11-2*I18-2*I19</f>
        <v>#DIV/0!</v>
      </c>
      <c r="D38" s="7"/>
      <c r="E38" s="7"/>
      <c r="F38" s="10"/>
      <c r="G38" s="10"/>
      <c r="H38" s="2">
        <v>9</v>
      </c>
      <c r="I38" s="144" t="e">
        <f t="shared" si="1"/>
        <v>#DIV/0!</v>
      </c>
      <c r="J38" s="145">
        <f>D11/2</f>
        <v>0</v>
      </c>
      <c r="K38" s="3" t="e">
        <f t="shared" si="2"/>
        <v>#DIV/0!</v>
      </c>
      <c r="L38" s="3" t="e">
        <f t="shared" si="3"/>
        <v>#DIV/0!</v>
      </c>
      <c r="M38" s="65" t="e">
        <f>C38*SIN(D3)</f>
        <v>#DIV/0!</v>
      </c>
      <c r="N38" s="7" t="e">
        <f t="shared" si="5"/>
        <v>#DIV/0!</v>
      </c>
    </row>
    <row r="39" spans="1:16" x14ac:dyDescent="0.25">
      <c r="A39" s="7" t="e">
        <f>$C$26</f>
        <v>#DIV/0!</v>
      </c>
      <c r="B39" s="2">
        <v>10</v>
      </c>
      <c r="C39" s="7" t="e">
        <f>2*I26</f>
        <v>#DIV/0!</v>
      </c>
      <c r="D39" s="7"/>
      <c r="E39" s="7"/>
      <c r="F39" s="10"/>
      <c r="G39" s="10"/>
      <c r="H39" s="2">
        <v>10</v>
      </c>
      <c r="I39" s="144" t="e">
        <f t="shared" si="1"/>
        <v>#DIV/0!</v>
      </c>
      <c r="J39" s="146" t="e">
        <f>$D$11-$I$27</f>
        <v>#DIV/0!</v>
      </c>
      <c r="K39" s="3" t="e">
        <f t="shared" si="2"/>
        <v>#DIV/0!</v>
      </c>
      <c r="L39" s="3" t="e">
        <f t="shared" si="3"/>
        <v>#DIV/0!</v>
      </c>
      <c r="M39" s="65"/>
      <c r="N39" s="83" t="e">
        <f>E3*$I$3^3*(($L$17+SIN($L$17)*COS($L$17))/2-SIN($L$17)^2/$L$17)+I39*L39^2</f>
        <v>#DIV/0!</v>
      </c>
    </row>
    <row r="40" spans="1:16" x14ac:dyDescent="0.25">
      <c r="A40" s="87" t="e">
        <f>$C$11-$C$18-$C$19</f>
        <v>#DIV/0!</v>
      </c>
      <c r="B40" s="2">
        <v>11</v>
      </c>
      <c r="C40" s="87" t="e">
        <f>C12-2*I18-2*I19</f>
        <v>#DIV/0!</v>
      </c>
      <c r="D40" s="7"/>
      <c r="E40" s="7"/>
      <c r="F40" s="10"/>
      <c r="G40" s="10"/>
      <c r="H40" s="2">
        <v>11</v>
      </c>
      <c r="I40" s="144" t="e">
        <f t="shared" si="1"/>
        <v>#DIV/0!</v>
      </c>
      <c r="J40" s="145">
        <f>D12/2</f>
        <v>0</v>
      </c>
      <c r="K40" s="3" t="e">
        <f t="shared" si="2"/>
        <v>#DIV/0!</v>
      </c>
      <c r="L40" s="3" t="e">
        <f t="shared" si="3"/>
        <v>#DIV/0!</v>
      </c>
      <c r="M40" s="65" t="e">
        <f>C40*SIN(D3)</f>
        <v>#DIV/0!</v>
      </c>
      <c r="N40" s="83" t="e">
        <f>I40*M40^2/12+I40*L40^2</f>
        <v>#DIV/0!</v>
      </c>
    </row>
    <row r="41" spans="1:16" x14ac:dyDescent="0.25">
      <c r="A41" s="7">
        <f>$D$12</f>
        <v>0</v>
      </c>
      <c r="B41" s="2">
        <v>12</v>
      </c>
      <c r="C41" s="7" t="e">
        <f>I26</f>
        <v>#DIV/0!</v>
      </c>
      <c r="D41" s="7"/>
      <c r="E41" s="7"/>
      <c r="F41" s="10"/>
      <c r="G41" s="10"/>
      <c r="H41" s="2">
        <v>12</v>
      </c>
      <c r="I41" s="144" t="e">
        <f t="shared" si="1"/>
        <v>#DIV/0!</v>
      </c>
      <c r="J41" s="146" t="e">
        <f>I27</f>
        <v>#DIV/0!</v>
      </c>
      <c r="K41" s="3" t="e">
        <f t="shared" si="2"/>
        <v>#DIV/0!</v>
      </c>
      <c r="L41" s="3" t="e">
        <f t="shared" si="3"/>
        <v>#DIV/0!</v>
      </c>
      <c r="M41" s="65"/>
      <c r="N41" s="83" t="e">
        <f>E7*$I$3^3*(($I$17+SIN($I$17)*COS($I$17))/2-SIN($I$17)^2/$I$17)+I41*L41^2</f>
        <v>#DIV/0!</v>
      </c>
      <c r="P41" t="e">
        <f>K41*O41^2/12+K41*N41^2</f>
        <v>#DIV/0!</v>
      </c>
    </row>
    <row r="42" spans="1:16" x14ac:dyDescent="0.25">
      <c r="A42" s="13">
        <f>$E$12</f>
        <v>0</v>
      </c>
      <c r="B42" s="2">
        <v>13</v>
      </c>
      <c r="C42" s="13" t="e">
        <f>C13-I18-I19</f>
        <v>#DIV/0!</v>
      </c>
      <c r="D42" s="7"/>
      <c r="E42" s="7"/>
      <c r="F42" s="10"/>
      <c r="G42" s="10"/>
      <c r="H42" s="2">
        <v>13</v>
      </c>
      <c r="I42" s="144" t="e">
        <f t="shared" si="1"/>
        <v>#DIV/0!</v>
      </c>
      <c r="J42" s="145">
        <f>D13</f>
        <v>0</v>
      </c>
      <c r="K42" s="3" t="e">
        <f t="shared" si="2"/>
        <v>#DIV/0!</v>
      </c>
      <c r="L42" s="3" t="e">
        <f t="shared" si="3"/>
        <v>#DIV/0!</v>
      </c>
      <c r="M42" s="65">
        <f>E3</f>
        <v>0</v>
      </c>
      <c r="N42" s="83" t="e">
        <f t="shared" ref="N42" si="6">I42*M42^2/12+I42*L42^2</f>
        <v>#DIV/0!</v>
      </c>
    </row>
    <row r="43" spans="1:16" x14ac:dyDescent="0.25">
      <c r="B43" s="2"/>
      <c r="C43" s="13"/>
      <c r="D43" s="7"/>
      <c r="E43" s="7"/>
      <c r="F43" s="10"/>
      <c r="G43" s="10"/>
      <c r="H43" s="2"/>
      <c r="I43" s="114"/>
      <c r="J43" s="82"/>
      <c r="K43" s="3"/>
      <c r="L43" s="3"/>
      <c r="M43" s="65"/>
      <c r="N43" s="83"/>
    </row>
    <row r="44" spans="1:16" x14ac:dyDescent="0.25">
      <c r="B44" s="2"/>
      <c r="C44" s="13"/>
      <c r="D44" s="7"/>
      <c r="E44" s="7"/>
      <c r="F44" s="10"/>
      <c r="G44" s="8"/>
      <c r="H44" s="2"/>
      <c r="I44" s="114"/>
      <c r="J44" s="82"/>
      <c r="K44" s="3"/>
      <c r="L44" s="3"/>
      <c r="M44" s="115"/>
      <c r="N44" s="7"/>
    </row>
    <row r="45" spans="1:16" x14ac:dyDescent="0.25">
      <c r="B45" s="8"/>
      <c r="C45" s="5" t="e">
        <f>SUM(C30:C44)</f>
        <v>#DIV/0!</v>
      </c>
      <c r="D45" s="10"/>
      <c r="E45" s="10"/>
      <c r="F45" s="8"/>
      <c r="G45" s="8"/>
      <c r="I45" s="5" t="e">
        <f>SUM(I30:I44)</f>
        <v>#DIV/0!</v>
      </c>
      <c r="K45" s="5" t="e">
        <f>SUM(K30:K44)</f>
        <v>#DIV/0!</v>
      </c>
      <c r="L45" s="85" t="e">
        <f>K45/I45</f>
        <v>#DIV/0!</v>
      </c>
      <c r="N45" s="5" t="e">
        <f>SUM(N30:N44)</f>
        <v>#DIV/0!</v>
      </c>
    </row>
    <row r="46" spans="1:16" x14ac:dyDescent="0.25">
      <c r="B46" s="37"/>
      <c r="C46" s="39" t="e">
        <f>C45*E3</f>
        <v>#DIV/0!</v>
      </c>
      <c r="D46" s="8"/>
      <c r="E46" s="8"/>
      <c r="F46" s="8"/>
      <c r="G46" s="8"/>
      <c r="I46" t="e">
        <f>I45*2/M3*1000</f>
        <v>#DIV/0!</v>
      </c>
      <c r="L46" s="5" t="e">
        <f>N3-L45</f>
        <v>#DIV/0!</v>
      </c>
      <c r="N46" t="e">
        <f>N45*2/M3*1000</f>
        <v>#DIV/0!</v>
      </c>
    </row>
    <row r="47" spans="1:16" x14ac:dyDescent="0.25">
      <c r="B47" s="37"/>
      <c r="C47" s="39"/>
      <c r="D47" s="8"/>
      <c r="E47" s="8"/>
      <c r="F47" s="8"/>
      <c r="G47" s="8"/>
      <c r="I47" t="e">
        <f>I46/100</f>
        <v>#DIV/0!</v>
      </c>
      <c r="N47" t="e">
        <f>N46/10000</f>
        <v>#DIV/0!</v>
      </c>
    </row>
    <row r="48" spans="1:16" x14ac:dyDescent="0.25">
      <c r="B48" s="37"/>
      <c r="C48" s="39"/>
      <c r="D48" s="8"/>
      <c r="E48" s="8"/>
      <c r="F48" s="8"/>
      <c r="G48" s="8"/>
    </row>
    <row r="49" spans="2:7" x14ac:dyDescent="0.25">
      <c r="B49" s="8"/>
      <c r="C49" s="8"/>
      <c r="D49" s="8"/>
      <c r="E49" s="8"/>
      <c r="F49" s="8"/>
      <c r="G49" s="8"/>
    </row>
    <row r="50" spans="2:7" x14ac:dyDescent="0.25">
      <c r="B50" s="8"/>
      <c r="C50" s="8"/>
      <c r="D50" s="8"/>
      <c r="E50" s="8"/>
      <c r="F50" s="8"/>
      <c r="G50" s="8"/>
    </row>
    <row r="51" spans="2:7" x14ac:dyDescent="0.25">
      <c r="B51" s="2" t="s">
        <v>16</v>
      </c>
      <c r="C51" s="2" t="s">
        <v>34</v>
      </c>
      <c r="D51" s="2" t="s">
        <v>7</v>
      </c>
      <c r="E51" s="8"/>
      <c r="F51" s="8"/>
      <c r="G51" s="8"/>
    </row>
    <row r="52" spans="2:7" x14ac:dyDescent="0.25">
      <c r="B52" s="2">
        <v>1</v>
      </c>
      <c r="C52" s="2">
        <v>0</v>
      </c>
      <c r="D52" s="2">
        <v>60</v>
      </c>
      <c r="E52" s="8"/>
      <c r="F52" s="8"/>
      <c r="G52" s="8"/>
    </row>
    <row r="53" spans="2:7" x14ac:dyDescent="0.25">
      <c r="B53" s="2">
        <v>2</v>
      </c>
      <c r="C53" s="7">
        <f>C6</f>
        <v>0</v>
      </c>
      <c r="D53" s="2">
        <f>D52</f>
        <v>60</v>
      </c>
      <c r="E53" s="8"/>
      <c r="F53" s="8"/>
      <c r="G53" s="8"/>
    </row>
    <row r="54" spans="2:7" x14ac:dyDescent="0.25">
      <c r="B54" s="2">
        <v>3</v>
      </c>
      <c r="C54" s="7">
        <f t="shared" ref="C54:C59" si="7">C53+E7</f>
        <v>0</v>
      </c>
      <c r="D54" s="7">
        <f>D53-D7</f>
        <v>60</v>
      </c>
      <c r="E54" s="8"/>
      <c r="F54" s="8"/>
      <c r="G54" s="8"/>
    </row>
    <row r="55" spans="2:7" x14ac:dyDescent="0.25">
      <c r="B55" s="2">
        <v>4</v>
      </c>
      <c r="C55" s="7">
        <f t="shared" si="7"/>
        <v>0</v>
      </c>
      <c r="D55" s="2">
        <f>D53</f>
        <v>60</v>
      </c>
      <c r="E55" s="8"/>
      <c r="F55" s="8"/>
      <c r="G55" s="8"/>
    </row>
    <row r="56" spans="2:7" x14ac:dyDescent="0.25">
      <c r="B56" s="2">
        <v>5</v>
      </c>
      <c r="C56" s="7">
        <f t="shared" si="7"/>
        <v>0</v>
      </c>
      <c r="D56" s="2">
        <f>D52</f>
        <v>60</v>
      </c>
      <c r="E56" s="8"/>
      <c r="F56" s="8"/>
      <c r="G56" s="8"/>
    </row>
    <row r="57" spans="2:7" x14ac:dyDescent="0.25">
      <c r="B57" s="2">
        <v>6</v>
      </c>
      <c r="C57" s="7">
        <f t="shared" si="7"/>
        <v>0</v>
      </c>
      <c r="D57" s="7">
        <f>D52-D10</f>
        <v>60</v>
      </c>
      <c r="E57" s="8"/>
      <c r="F57" s="8"/>
      <c r="G57" s="8"/>
    </row>
    <row r="58" spans="2:7" x14ac:dyDescent="0.25">
      <c r="B58" s="2">
        <v>7</v>
      </c>
      <c r="C58" s="7">
        <f t="shared" si="7"/>
        <v>0</v>
      </c>
      <c r="D58" s="7">
        <f>D57-D11</f>
        <v>60</v>
      </c>
      <c r="E58" s="8"/>
      <c r="F58" s="8"/>
      <c r="G58" s="8"/>
    </row>
    <row r="59" spans="2:7" x14ac:dyDescent="0.25">
      <c r="B59" s="2">
        <v>8</v>
      </c>
      <c r="C59" s="7">
        <f t="shared" si="7"/>
        <v>0</v>
      </c>
      <c r="D59" s="2">
        <v>0</v>
      </c>
      <c r="E59" s="8"/>
      <c r="F59" s="8"/>
      <c r="G59" s="8"/>
    </row>
    <row r="60" spans="2:7" x14ac:dyDescent="0.25">
      <c r="B60" s="2">
        <v>9</v>
      </c>
      <c r="C60" s="7"/>
      <c r="D60" s="2">
        <v>0</v>
      </c>
      <c r="E60" s="8"/>
      <c r="F60" s="8"/>
      <c r="G60" s="8"/>
    </row>
    <row r="61" spans="2:7" x14ac:dyDescent="0.25">
      <c r="B61" s="2"/>
      <c r="C61" s="7"/>
      <c r="D61" s="2"/>
      <c r="E61" s="8"/>
      <c r="F61" s="8"/>
      <c r="G61" s="8"/>
    </row>
  </sheetData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1"/>
  <sheetViews>
    <sheetView workbookViewId="0">
      <selection activeCell="D24" sqref="D24"/>
    </sheetView>
  </sheetViews>
  <sheetFormatPr baseColWidth="10" defaultRowHeight="15" x14ac:dyDescent="0.25"/>
  <cols>
    <col min="2" max="2" width="11.42578125" bestFit="1" customWidth="1"/>
  </cols>
  <sheetData>
    <row r="2" spans="2:15" ht="16.5" x14ac:dyDescent="0.3">
      <c r="B2" s="2" t="s">
        <v>0</v>
      </c>
      <c r="C2" s="2" t="s">
        <v>2</v>
      </c>
      <c r="D2" s="2" t="s">
        <v>21</v>
      </c>
      <c r="E2" s="8"/>
      <c r="F2" s="8"/>
      <c r="G2" s="8"/>
      <c r="H2" s="8"/>
      <c r="I2" s="8"/>
      <c r="J2" s="8"/>
      <c r="K2" s="8"/>
    </row>
    <row r="3" spans="2:15" x14ac:dyDescent="0.25">
      <c r="B3" s="2">
        <f>données!E3</f>
        <v>0</v>
      </c>
      <c r="C3" s="7">
        <f>données!H3</f>
        <v>0</v>
      </c>
      <c r="D3" s="6">
        <f>données!G3</f>
        <v>0</v>
      </c>
      <c r="E3" s="8"/>
      <c r="F3" s="8"/>
      <c r="G3" s="8"/>
      <c r="H3" s="8"/>
      <c r="I3" s="8"/>
      <c r="J3" s="8"/>
      <c r="K3" s="8"/>
    </row>
    <row r="4" spans="2:15" x14ac:dyDescent="0.25">
      <c r="B4" s="8"/>
      <c r="C4" s="8"/>
      <c r="D4" s="8"/>
      <c r="E4" s="8"/>
      <c r="F4" s="8"/>
      <c r="G4" s="8"/>
      <c r="H4" s="8"/>
      <c r="I4" s="8"/>
      <c r="J4" s="8"/>
      <c r="K4" s="8"/>
    </row>
    <row r="5" spans="2:15" ht="16.5" x14ac:dyDescent="0.3">
      <c r="B5" s="93" t="s">
        <v>92</v>
      </c>
      <c r="C5" s="93" t="s">
        <v>91</v>
      </c>
      <c r="D5" s="93" t="s">
        <v>85</v>
      </c>
      <c r="E5" s="93" t="s">
        <v>88</v>
      </c>
      <c r="F5" s="93" t="s">
        <v>91</v>
      </c>
      <c r="G5" s="8" t="s">
        <v>133</v>
      </c>
      <c r="H5" s="8"/>
      <c r="I5" s="8"/>
      <c r="J5" s="8"/>
      <c r="K5" s="8"/>
    </row>
    <row r="6" spans="2:15" x14ac:dyDescent="0.25">
      <c r="B6" s="94" t="e">
        <f>0.76*B3*(C3/D3)^0.5</f>
        <v>#DIV/0!</v>
      </c>
      <c r="C6" s="94" t="e">
        <f>B6</f>
        <v>#DIV/0!</v>
      </c>
      <c r="D6" s="94" t="e">
        <f>largeur_eff_ame!C24</f>
        <v>#DIV/0!</v>
      </c>
      <c r="E6" s="93" t="e">
        <f>largeur_eff_ame!G27</f>
        <v>#DIV/0!</v>
      </c>
      <c r="F6" s="93"/>
      <c r="G6" s="8"/>
      <c r="H6" s="8"/>
      <c r="I6" s="8"/>
      <c r="J6" s="8"/>
      <c r="K6" s="8"/>
    </row>
    <row r="7" spans="2:15" x14ac:dyDescent="0.25">
      <c r="B7" s="8"/>
      <c r="C7" s="8"/>
      <c r="D7" s="8"/>
      <c r="E7" s="8"/>
      <c r="F7" s="8"/>
      <c r="G7" s="8"/>
      <c r="H7" s="8"/>
      <c r="I7" s="8"/>
      <c r="J7" s="8"/>
      <c r="K7" s="8"/>
    </row>
    <row r="8" spans="2:15" x14ac:dyDescent="0.25">
      <c r="B8" s="21" t="s">
        <v>9</v>
      </c>
      <c r="C8" s="8"/>
      <c r="D8" s="8"/>
      <c r="E8" s="8"/>
      <c r="F8" s="8"/>
      <c r="G8" s="8"/>
      <c r="H8" s="8"/>
      <c r="I8" s="8"/>
      <c r="J8" s="8"/>
      <c r="K8" s="8"/>
    </row>
    <row r="9" spans="2:15" x14ac:dyDescent="0.25">
      <c r="B9" s="8"/>
      <c r="C9" s="8"/>
      <c r="D9" s="8"/>
      <c r="E9" s="8"/>
      <c r="F9" s="8"/>
      <c r="G9" s="8"/>
      <c r="H9" s="8"/>
      <c r="I9" s="8"/>
      <c r="J9" s="8"/>
      <c r="K9" s="8"/>
    </row>
    <row r="10" spans="2:15" ht="18.75" x14ac:dyDescent="0.3">
      <c r="B10" s="14" t="s">
        <v>5</v>
      </c>
      <c r="C10" s="14" t="s">
        <v>44</v>
      </c>
      <c r="D10" s="14" t="s">
        <v>51</v>
      </c>
      <c r="E10" s="14" t="s">
        <v>47</v>
      </c>
      <c r="F10" s="14" t="s">
        <v>45</v>
      </c>
      <c r="G10" s="14" t="s">
        <v>48</v>
      </c>
      <c r="H10" s="14" t="s">
        <v>46</v>
      </c>
      <c r="I10" s="23" t="s">
        <v>8</v>
      </c>
      <c r="J10" s="14" t="s">
        <v>49</v>
      </c>
      <c r="K10" s="24" t="s">
        <v>13</v>
      </c>
      <c r="M10" s="14" t="s">
        <v>5</v>
      </c>
      <c r="N10" s="23" t="s">
        <v>8</v>
      </c>
      <c r="O10" s="14" t="s">
        <v>49</v>
      </c>
    </row>
    <row r="11" spans="2:15" x14ac:dyDescent="0.25">
      <c r="B11" s="14">
        <v>1</v>
      </c>
      <c r="C11" s="15">
        <f>données!C30</f>
        <v>0</v>
      </c>
      <c r="D11" s="89" t="e">
        <f>'raidisseur (3bis)'!$B$32*$B$3</f>
        <v>#DIV/0!</v>
      </c>
      <c r="E11" s="136" t="e">
        <f>C11*D11*'raidisseur (3bis)'!E$32</f>
        <v>#DIV/0!</v>
      </c>
      <c r="F11" s="15">
        <f>données!J30</f>
        <v>0</v>
      </c>
      <c r="G11" s="15" t="e">
        <f>E11*F11</f>
        <v>#DIV/0!</v>
      </c>
      <c r="H11" s="7" t="e">
        <f>$H$31-F11</f>
        <v>#DIV/0!</v>
      </c>
      <c r="I11" s="30">
        <f>données!M30</f>
        <v>0</v>
      </c>
      <c r="J11" s="7" t="e">
        <f>E11*I11^2/12+E11*H11^2</f>
        <v>#DIV/0!</v>
      </c>
      <c r="K11" s="29"/>
      <c r="M11" s="14">
        <v>1</v>
      </c>
      <c r="N11" s="3">
        <f>I11</f>
        <v>0</v>
      </c>
      <c r="O11" s="3" t="e">
        <f>J11</f>
        <v>#DIV/0!</v>
      </c>
    </row>
    <row r="12" spans="2:15" x14ac:dyDescent="0.25">
      <c r="B12" s="14">
        <v>2</v>
      </c>
      <c r="C12" s="15">
        <f>données!C31</f>
        <v>0</v>
      </c>
      <c r="D12" s="89" t="e">
        <f>'raidisseur (3bis)'!$B$32*$B$3</f>
        <v>#DIV/0!</v>
      </c>
      <c r="E12" s="136" t="e">
        <f>C12*D12*'raidisseur (3bis)'!E$32</f>
        <v>#DIV/0!</v>
      </c>
      <c r="F12" s="15">
        <f>données!J31</f>
        <v>0</v>
      </c>
      <c r="G12" s="15" t="e">
        <f t="shared" ref="G12:G28" si="0">E12*F12</f>
        <v>#DIV/0!</v>
      </c>
      <c r="H12" s="7" t="e">
        <f t="shared" ref="H12:H28" si="1">$H$31-F12</f>
        <v>#DIV/0!</v>
      </c>
      <c r="I12" s="30">
        <f>données!M31</f>
        <v>0</v>
      </c>
      <c r="J12" s="7" t="e">
        <f t="shared" ref="J12:J14" si="2">E12*I12^2/12+E12*H12^2</f>
        <v>#DIV/0!</v>
      </c>
      <c r="K12" s="8"/>
      <c r="M12" s="14">
        <v>2</v>
      </c>
      <c r="N12" s="3">
        <f t="shared" ref="N12:O31" si="3">I12</f>
        <v>0</v>
      </c>
      <c r="O12" s="3" t="e">
        <f t="shared" si="3"/>
        <v>#DIV/0!</v>
      </c>
    </row>
    <row r="13" spans="2:15" x14ac:dyDescent="0.25">
      <c r="B13" s="14">
        <v>31</v>
      </c>
      <c r="C13" s="15" t="e">
        <f>'largeur_eff_semelle bis (3)'!O5</f>
        <v>#DIV/0!</v>
      </c>
      <c r="D13" s="89" t="e">
        <f>'raidisseur (3bis)'!$B$32*$B$3</f>
        <v>#DIV/0!</v>
      </c>
      <c r="E13" s="136" t="e">
        <f>C13*D13*'raidisseur (3bis)'!E$32</f>
        <v>#DIV/0!</v>
      </c>
      <c r="F13" s="15">
        <f>données!J32</f>
        <v>0</v>
      </c>
      <c r="G13" s="15" t="e">
        <f t="shared" si="0"/>
        <v>#DIV/0!</v>
      </c>
      <c r="H13" s="7" t="e">
        <f t="shared" si="1"/>
        <v>#DIV/0!</v>
      </c>
      <c r="I13" s="30">
        <f>données!M32</f>
        <v>0</v>
      </c>
      <c r="J13" s="7" t="e">
        <f t="shared" si="2"/>
        <v>#DIV/0!</v>
      </c>
      <c r="K13" s="8"/>
      <c r="M13" s="14">
        <v>3</v>
      </c>
      <c r="N13" s="3">
        <f t="shared" si="3"/>
        <v>0</v>
      </c>
      <c r="O13" s="3" t="e">
        <f t="shared" si="3"/>
        <v>#DIV/0!</v>
      </c>
    </row>
    <row r="14" spans="2:15" x14ac:dyDescent="0.25">
      <c r="B14" s="14">
        <v>32</v>
      </c>
      <c r="C14" s="15" t="e">
        <f>'largeur_eff_semelle bis (3)'!O10-données!C19</f>
        <v>#DIV/0!</v>
      </c>
      <c r="D14" s="25">
        <f>$B$3</f>
        <v>0</v>
      </c>
      <c r="E14" s="15" t="e">
        <f t="shared" ref="E14" si="4">C14*D14</f>
        <v>#DIV/0!</v>
      </c>
      <c r="F14" s="15">
        <f>données!J32</f>
        <v>0</v>
      </c>
      <c r="G14" s="15" t="e">
        <f t="shared" si="0"/>
        <v>#DIV/0!</v>
      </c>
      <c r="H14" s="7" t="e">
        <f t="shared" si="1"/>
        <v>#DIV/0!</v>
      </c>
      <c r="I14" s="30">
        <f>données!M32</f>
        <v>0</v>
      </c>
      <c r="J14" s="7" t="e">
        <f t="shared" si="2"/>
        <v>#DIV/0!</v>
      </c>
      <c r="K14" s="8"/>
      <c r="M14" s="14">
        <v>4</v>
      </c>
      <c r="N14" s="3">
        <f t="shared" si="3"/>
        <v>0</v>
      </c>
      <c r="O14" s="3" t="e">
        <f t="shared" si="3"/>
        <v>#DIV/0!</v>
      </c>
    </row>
    <row r="15" spans="2:15" x14ac:dyDescent="0.25">
      <c r="B15" s="14">
        <v>4</v>
      </c>
      <c r="C15" s="15" t="e">
        <f>données!C33</f>
        <v>#DIV/0!</v>
      </c>
      <c r="D15" s="25">
        <f t="shared" ref="D15:D17" si="5">$B$3</f>
        <v>0</v>
      </c>
      <c r="E15" s="15" t="e">
        <f t="shared" ref="E15:E17" si="6">C15*D15</f>
        <v>#DIV/0!</v>
      </c>
      <c r="F15" s="15" t="e">
        <f>données!J33</f>
        <v>#DIV/0!</v>
      </c>
      <c r="G15" s="15" t="e">
        <f t="shared" si="0"/>
        <v>#DIV/0!</v>
      </c>
      <c r="H15" s="7" t="e">
        <f t="shared" si="1"/>
        <v>#DIV/0!</v>
      </c>
      <c r="I15" s="30">
        <f>données!M33</f>
        <v>0</v>
      </c>
      <c r="J15" s="6" t="e">
        <f>B$3*données!I$3^3*((données!B$3+SIN(données!B$3)*COS(données!B$3))/2-SIN(données!B$3)^2/données!B$3)+E15*H15^2</f>
        <v>#DIV/0!</v>
      </c>
      <c r="K15" s="8"/>
      <c r="M15" s="14">
        <v>5</v>
      </c>
      <c r="N15" s="3">
        <f t="shared" si="3"/>
        <v>0</v>
      </c>
      <c r="O15" s="3" t="e">
        <f t="shared" si="3"/>
        <v>#DIV/0!</v>
      </c>
    </row>
    <row r="16" spans="2:15" x14ac:dyDescent="0.25">
      <c r="B16" s="14">
        <v>5</v>
      </c>
      <c r="C16" s="15" t="e">
        <f>données!C34</f>
        <v>#DIV/0!</v>
      </c>
      <c r="D16" s="25">
        <f t="shared" si="5"/>
        <v>0</v>
      </c>
      <c r="E16" s="15" t="e">
        <f t="shared" si="6"/>
        <v>#DIV/0!</v>
      </c>
      <c r="F16" s="15">
        <f>données!J34</f>
        <v>0</v>
      </c>
      <c r="G16" s="15" t="e">
        <f t="shared" si="0"/>
        <v>#DIV/0!</v>
      </c>
      <c r="H16" s="7" t="e">
        <f t="shared" si="1"/>
        <v>#DIV/0!</v>
      </c>
      <c r="I16" s="30" t="e">
        <f>données!M34</f>
        <v>#DIV/0!</v>
      </c>
      <c r="J16" s="7" t="e">
        <f t="shared" ref="J16:J28" si="7">E16*I16^2/12+E16*H16^2</f>
        <v>#DIV/0!</v>
      </c>
      <c r="K16" s="8"/>
      <c r="M16" s="14">
        <v>6</v>
      </c>
      <c r="N16" s="3" t="e">
        <f t="shared" si="3"/>
        <v>#DIV/0!</v>
      </c>
      <c r="O16" s="3" t="e">
        <f t="shared" si="3"/>
        <v>#DIV/0!</v>
      </c>
    </row>
    <row r="17" spans="2:15" x14ac:dyDescent="0.25">
      <c r="B17" s="14">
        <v>6</v>
      </c>
      <c r="C17" s="15" t="e">
        <f>données!C35</f>
        <v>#DIV/0!</v>
      </c>
      <c r="D17" s="25">
        <f t="shared" si="5"/>
        <v>0</v>
      </c>
      <c r="E17" s="15" t="e">
        <f t="shared" si="6"/>
        <v>#DIV/0!</v>
      </c>
      <c r="F17" s="15" t="e">
        <f>données!J35</f>
        <v>#DIV/0!</v>
      </c>
      <c r="G17" s="15" t="e">
        <f t="shared" si="0"/>
        <v>#DIV/0!</v>
      </c>
      <c r="H17" s="7" t="e">
        <f t="shared" si="1"/>
        <v>#DIV/0!</v>
      </c>
      <c r="I17" s="30">
        <f>données!M35</f>
        <v>0</v>
      </c>
      <c r="J17" s="6" t="e">
        <f>B$3*données!I$3^3*((données!B$3+SIN(données!B$3)*COS(données!B$3))/2-SIN(données!B$3)^2/données!B$3)+E17*H17^2</f>
        <v>#DIV/0!</v>
      </c>
      <c r="K17" s="8"/>
      <c r="M17" s="14">
        <v>7</v>
      </c>
      <c r="N17" s="3">
        <f t="shared" si="3"/>
        <v>0</v>
      </c>
      <c r="O17" s="3" t="e">
        <f t="shared" si="3"/>
        <v>#DIV/0!</v>
      </c>
    </row>
    <row r="18" spans="2:15" x14ac:dyDescent="0.25">
      <c r="B18" s="14">
        <v>7</v>
      </c>
      <c r="C18" s="15" t="e">
        <f>données!C36</f>
        <v>#DIV/0!</v>
      </c>
      <c r="D18" s="25">
        <f>$B$3</f>
        <v>0</v>
      </c>
      <c r="E18" s="15" t="e">
        <f t="shared" ref="E18:E28" si="8">C18*D18</f>
        <v>#DIV/0!</v>
      </c>
      <c r="F18" s="15">
        <f>données!J36</f>
        <v>0</v>
      </c>
      <c r="G18" s="15" t="e">
        <f t="shared" si="0"/>
        <v>#DIV/0!</v>
      </c>
      <c r="H18" s="7" t="e">
        <f t="shared" si="1"/>
        <v>#DIV/0!</v>
      </c>
      <c r="I18" s="30">
        <f>données!M36</f>
        <v>0</v>
      </c>
      <c r="J18" s="7" t="e">
        <f t="shared" si="7"/>
        <v>#DIV/0!</v>
      </c>
      <c r="K18" s="8"/>
      <c r="M18" s="14"/>
      <c r="N18" s="3"/>
      <c r="O18" s="3"/>
    </row>
    <row r="19" spans="2:15" x14ac:dyDescent="0.25">
      <c r="B19" s="14">
        <v>8</v>
      </c>
      <c r="C19" s="15" t="e">
        <f>données!C37</f>
        <v>#DIV/0!</v>
      </c>
      <c r="D19" s="25">
        <f>$B$3</f>
        <v>0</v>
      </c>
      <c r="E19" s="15" t="e">
        <f t="shared" si="8"/>
        <v>#DIV/0!</v>
      </c>
      <c r="F19" s="15" t="e">
        <f>données!J37</f>
        <v>#DIV/0!</v>
      </c>
      <c r="G19" s="15" t="e">
        <f t="shared" si="0"/>
        <v>#DIV/0!</v>
      </c>
      <c r="H19" s="7" t="e">
        <f t="shared" si="1"/>
        <v>#DIV/0!</v>
      </c>
      <c r="I19" s="30">
        <f>données!M37</f>
        <v>0</v>
      </c>
      <c r="J19" s="6" t="e">
        <f>B$3*données!I$3^3*((données!D$3+SIN(données!D$3)*COS(données!D$3))/2-SIN(données!D$3)^2/données!D$3)+E19*H19^2</f>
        <v>#DIV/0!</v>
      </c>
      <c r="K19" s="8"/>
      <c r="M19" s="14">
        <v>8</v>
      </c>
      <c r="N19" s="3">
        <f t="shared" si="3"/>
        <v>0</v>
      </c>
      <c r="O19" s="3" t="e">
        <f t="shared" si="3"/>
        <v>#DIV/0!</v>
      </c>
    </row>
    <row r="20" spans="2:15" x14ac:dyDescent="0.25">
      <c r="B20" s="14">
        <v>9</v>
      </c>
      <c r="C20" s="15" t="e">
        <f>données!C38</f>
        <v>#DIV/0!</v>
      </c>
      <c r="D20" s="25">
        <f>$B$3</f>
        <v>0</v>
      </c>
      <c r="E20" s="15" t="e">
        <f t="shared" si="8"/>
        <v>#DIV/0!</v>
      </c>
      <c r="F20" s="15">
        <f>données!J38</f>
        <v>0</v>
      </c>
      <c r="G20" s="15" t="e">
        <f t="shared" si="0"/>
        <v>#DIV/0!</v>
      </c>
      <c r="H20" s="7" t="e">
        <f t="shared" si="1"/>
        <v>#DIV/0!</v>
      </c>
      <c r="I20" s="30" t="e">
        <f>données!M38</f>
        <v>#DIV/0!</v>
      </c>
      <c r="J20" s="7" t="e">
        <f t="shared" si="7"/>
        <v>#DIV/0!</v>
      </c>
      <c r="K20" s="8"/>
      <c r="M20" s="14">
        <v>9</v>
      </c>
      <c r="N20" s="3" t="e">
        <f t="shared" si="3"/>
        <v>#DIV/0!</v>
      </c>
      <c r="O20" s="3" t="e">
        <f t="shared" si="3"/>
        <v>#DIV/0!</v>
      </c>
    </row>
    <row r="21" spans="2:15" x14ac:dyDescent="0.25">
      <c r="B21" s="14" t="s">
        <v>151</v>
      </c>
      <c r="C21" s="22">
        <f>-data!L14</f>
        <v>0</v>
      </c>
      <c r="D21" s="129">
        <f>B3</f>
        <v>0</v>
      </c>
      <c r="E21" s="15">
        <f t="shared" si="8"/>
        <v>0</v>
      </c>
      <c r="F21" s="15">
        <f>data!N14</f>
        <v>0</v>
      </c>
      <c r="G21" s="15">
        <f t="shared" si="0"/>
        <v>0</v>
      </c>
      <c r="H21" s="7" t="e">
        <f t="shared" si="1"/>
        <v>#DIV/0!</v>
      </c>
      <c r="I21" s="138" t="e">
        <f>-C21*SIN(données!$B$3)</f>
        <v>#DIV/0!</v>
      </c>
      <c r="J21" s="7" t="e">
        <f>E21*I21^2/12+E21*H21^2</f>
        <v>#DIV/0!</v>
      </c>
      <c r="K21" s="8"/>
      <c r="M21" s="14"/>
      <c r="N21" s="3"/>
      <c r="O21" s="3"/>
    </row>
    <row r="22" spans="2:15" x14ac:dyDescent="0.25">
      <c r="B22" s="14" t="s">
        <v>151</v>
      </c>
      <c r="C22" s="22">
        <f>data!L14</f>
        <v>0</v>
      </c>
      <c r="D22" s="129" t="e">
        <f>B$3*data!K$14</f>
        <v>#VALUE!</v>
      </c>
      <c r="E22" s="15" t="e">
        <f t="shared" si="8"/>
        <v>#VALUE!</v>
      </c>
      <c r="F22" s="15">
        <f>data!N14</f>
        <v>0</v>
      </c>
      <c r="G22" s="15" t="e">
        <f t="shared" si="0"/>
        <v>#VALUE!</v>
      </c>
      <c r="H22" s="7" t="e">
        <f t="shared" si="1"/>
        <v>#DIV/0!</v>
      </c>
      <c r="I22" s="138" t="e">
        <f>C22*SIN(données!$B$3)</f>
        <v>#DIV/0!</v>
      </c>
      <c r="J22" s="7" t="e">
        <f>E22*I22^2/12+E22*H22^2</f>
        <v>#VALUE!</v>
      </c>
      <c r="K22" s="8"/>
      <c r="M22" s="14"/>
      <c r="N22" s="3"/>
      <c r="O22" s="3"/>
    </row>
    <row r="23" spans="2:15" x14ac:dyDescent="0.25">
      <c r="B23" s="14" t="s">
        <v>151</v>
      </c>
      <c r="C23" s="22">
        <f>-data!M14</f>
        <v>0</v>
      </c>
      <c r="D23" s="129">
        <f>B3</f>
        <v>0</v>
      </c>
      <c r="E23" s="15">
        <f t="shared" si="8"/>
        <v>0</v>
      </c>
      <c r="F23" s="15">
        <f>data!O14</f>
        <v>0</v>
      </c>
      <c r="G23" s="15">
        <f t="shared" si="0"/>
        <v>0</v>
      </c>
      <c r="H23" s="7" t="e">
        <f t="shared" si="1"/>
        <v>#DIV/0!</v>
      </c>
      <c r="I23" s="138" t="e">
        <f>-C23*SIN(données!$B$3)</f>
        <v>#DIV/0!</v>
      </c>
      <c r="J23" s="7" t="e">
        <f>E23*I23^2/12+E23*H23^2</f>
        <v>#DIV/0!</v>
      </c>
      <c r="K23" s="8"/>
      <c r="M23" s="14"/>
      <c r="N23" s="3"/>
      <c r="O23" s="3"/>
    </row>
    <row r="24" spans="2:15" x14ac:dyDescent="0.25">
      <c r="B24" s="14" t="s">
        <v>151</v>
      </c>
      <c r="C24" s="22">
        <f>data!M14</f>
        <v>0</v>
      </c>
      <c r="D24" s="129" t="e">
        <f>B$3*data!K$14</f>
        <v>#VALUE!</v>
      </c>
      <c r="E24" s="15" t="e">
        <f t="shared" si="8"/>
        <v>#VALUE!</v>
      </c>
      <c r="F24" s="15">
        <f>data!O14</f>
        <v>0</v>
      </c>
      <c r="G24" s="15" t="e">
        <f t="shared" si="0"/>
        <v>#VALUE!</v>
      </c>
      <c r="H24" s="7" t="e">
        <f t="shared" si="1"/>
        <v>#DIV/0!</v>
      </c>
      <c r="I24" s="138" t="e">
        <f>C24*SIN(données!$B$3)</f>
        <v>#DIV/0!</v>
      </c>
      <c r="J24" s="7" t="e">
        <f>E24*I24^2/12+E24*H24^2</f>
        <v>#VALUE!</v>
      </c>
      <c r="K24" s="8"/>
      <c r="M24" s="14"/>
      <c r="N24" s="3"/>
      <c r="O24" s="3"/>
    </row>
    <row r="25" spans="2:15" x14ac:dyDescent="0.25">
      <c r="B25" s="14">
        <v>10</v>
      </c>
      <c r="C25" s="22" t="e">
        <f>données!C39</f>
        <v>#DIV/0!</v>
      </c>
      <c r="D25" s="25">
        <f t="shared" ref="D25:D26" si="9">$B$3</f>
        <v>0</v>
      </c>
      <c r="E25" s="15" t="e">
        <f t="shared" si="8"/>
        <v>#DIV/0!</v>
      </c>
      <c r="F25" s="15" t="e">
        <f>données!J39</f>
        <v>#DIV/0!</v>
      </c>
      <c r="G25" s="15" t="e">
        <f t="shared" si="0"/>
        <v>#DIV/0!</v>
      </c>
      <c r="H25" s="7" t="e">
        <f t="shared" si="1"/>
        <v>#DIV/0!</v>
      </c>
      <c r="I25" s="30">
        <f>données!M39</f>
        <v>0</v>
      </c>
      <c r="J25" s="6" t="e">
        <f>B$3*données!I$3^3*((données!L$17+SIN(données!L$17)*COS(données!L$17))/2-SIN(données!L$17)^2/données!L$17)+E25*H25^2</f>
        <v>#DIV/0!</v>
      </c>
      <c r="K25" s="8"/>
      <c r="M25" s="14">
        <v>10</v>
      </c>
      <c r="N25" s="3">
        <f t="shared" si="3"/>
        <v>0</v>
      </c>
      <c r="O25" s="3" t="e">
        <f t="shared" si="3"/>
        <v>#DIV/0!</v>
      </c>
    </row>
    <row r="26" spans="2:15" x14ac:dyDescent="0.25">
      <c r="B26" s="14">
        <v>11</v>
      </c>
      <c r="C26" s="22" t="e">
        <f>données!C40</f>
        <v>#DIV/0!</v>
      </c>
      <c r="D26" s="25">
        <f t="shared" si="9"/>
        <v>0</v>
      </c>
      <c r="E26" s="15" t="e">
        <f t="shared" si="8"/>
        <v>#DIV/0!</v>
      </c>
      <c r="F26" s="15">
        <f>données!J40</f>
        <v>0</v>
      </c>
      <c r="G26" s="15" t="e">
        <f t="shared" si="0"/>
        <v>#DIV/0!</v>
      </c>
      <c r="H26" s="7" t="e">
        <f t="shared" si="1"/>
        <v>#DIV/0!</v>
      </c>
      <c r="I26" s="30" t="e">
        <f>données!M40</f>
        <v>#DIV/0!</v>
      </c>
      <c r="J26" s="7" t="e">
        <f t="shared" si="7"/>
        <v>#DIV/0!</v>
      </c>
      <c r="K26" s="8"/>
      <c r="M26" s="14">
        <v>11</v>
      </c>
      <c r="N26" s="3" t="e">
        <f t="shared" si="3"/>
        <v>#DIV/0!</v>
      </c>
      <c r="O26" s="3" t="e">
        <f t="shared" si="3"/>
        <v>#DIV/0!</v>
      </c>
    </row>
    <row r="27" spans="2:15" x14ac:dyDescent="0.25">
      <c r="B27" s="14">
        <v>12</v>
      </c>
      <c r="C27" s="22" t="e">
        <f>données!C41</f>
        <v>#DIV/0!</v>
      </c>
      <c r="D27" s="25">
        <f>$B$3</f>
        <v>0</v>
      </c>
      <c r="E27" s="15" t="e">
        <f t="shared" si="8"/>
        <v>#DIV/0!</v>
      </c>
      <c r="F27" s="15" t="e">
        <f>données!J41</f>
        <v>#DIV/0!</v>
      </c>
      <c r="G27" s="15" t="e">
        <f t="shared" si="0"/>
        <v>#DIV/0!</v>
      </c>
      <c r="H27" s="7" t="e">
        <f t="shared" si="1"/>
        <v>#DIV/0!</v>
      </c>
      <c r="I27" s="30">
        <f>données!M41</f>
        <v>0</v>
      </c>
      <c r="J27" s="6" t="e">
        <f>B$3*données!I$3^3*((données!D$3+SIN(données!D$3)*COS(données!D$3))/2-SIN(données!D$3)^2/données!D$3)+E27*H27^2</f>
        <v>#DIV/0!</v>
      </c>
      <c r="K27" s="8"/>
      <c r="M27" s="14">
        <v>12</v>
      </c>
      <c r="N27" s="3">
        <f t="shared" si="3"/>
        <v>0</v>
      </c>
      <c r="O27" s="3" t="e">
        <f t="shared" si="3"/>
        <v>#DIV/0!</v>
      </c>
    </row>
    <row r="28" spans="2:15" x14ac:dyDescent="0.25">
      <c r="B28" s="14">
        <v>13</v>
      </c>
      <c r="C28" s="22" t="e">
        <f>données!C42</f>
        <v>#DIV/0!</v>
      </c>
      <c r="D28" s="25">
        <f t="shared" ref="D28" si="10">$B$3</f>
        <v>0</v>
      </c>
      <c r="E28" s="15" t="e">
        <f t="shared" si="8"/>
        <v>#DIV/0!</v>
      </c>
      <c r="F28" s="15">
        <f>données!J42</f>
        <v>0</v>
      </c>
      <c r="G28" s="15" t="e">
        <f t="shared" si="0"/>
        <v>#DIV/0!</v>
      </c>
      <c r="H28" s="7" t="e">
        <f t="shared" si="1"/>
        <v>#DIV/0!</v>
      </c>
      <c r="I28" s="30">
        <f>données!M42</f>
        <v>0</v>
      </c>
      <c r="J28" s="7" t="e">
        <f t="shared" si="7"/>
        <v>#DIV/0!</v>
      </c>
      <c r="K28" s="8"/>
      <c r="M28" s="14"/>
      <c r="N28" s="3"/>
      <c r="O28" s="3"/>
    </row>
    <row r="29" spans="2:15" x14ac:dyDescent="0.25">
      <c r="B29" s="14"/>
      <c r="C29" s="22"/>
      <c r="D29" s="25"/>
      <c r="E29" s="15"/>
      <c r="F29" s="15"/>
      <c r="G29" s="15"/>
      <c r="H29" s="7"/>
      <c r="I29" s="30"/>
      <c r="J29" s="6"/>
      <c r="K29" s="8"/>
      <c r="M29" s="14"/>
      <c r="N29" s="3"/>
      <c r="O29" s="3"/>
    </row>
    <row r="30" spans="2:15" x14ac:dyDescent="0.25">
      <c r="B30" s="14"/>
      <c r="C30" s="22"/>
      <c r="D30" s="25"/>
      <c r="E30" s="15"/>
      <c r="F30" s="15"/>
      <c r="G30" s="15"/>
      <c r="H30" s="7"/>
      <c r="I30" s="30"/>
      <c r="J30" s="7"/>
      <c r="K30" s="8"/>
      <c r="M30" s="14"/>
      <c r="N30" s="3"/>
      <c r="O30" s="3"/>
    </row>
    <row r="31" spans="2:15" x14ac:dyDescent="0.25">
      <c r="B31" s="14" t="s">
        <v>6</v>
      </c>
      <c r="C31" s="8"/>
      <c r="D31" s="8"/>
      <c r="E31" s="26" t="e">
        <f>SUM(E11:E30)</f>
        <v>#DIV/0!</v>
      </c>
      <c r="F31" s="8"/>
      <c r="G31" s="26" t="e">
        <f>SUM(G11:G30)</f>
        <v>#DIV/0!</v>
      </c>
      <c r="H31" s="26" t="e">
        <f>G31/E31</f>
        <v>#DIV/0!</v>
      </c>
      <c r="I31" s="8"/>
      <c r="J31" s="13" t="e">
        <f>SUM(J11:J30)</f>
        <v>#DIV/0!</v>
      </c>
      <c r="K31" s="8" t="s">
        <v>93</v>
      </c>
      <c r="M31" s="14" t="s">
        <v>6</v>
      </c>
      <c r="N31" s="1"/>
      <c r="O31" s="3" t="e">
        <f t="shared" si="3"/>
        <v>#DIV/0!</v>
      </c>
    </row>
    <row r="32" spans="2:15" x14ac:dyDescent="0.25">
      <c r="B32" s="8"/>
      <c r="C32" s="8"/>
      <c r="D32" s="8"/>
      <c r="E32" s="8"/>
      <c r="F32" s="8"/>
      <c r="G32" s="8"/>
      <c r="H32" s="10" t="e">
        <f>données!N3-'résistance_section (3)'!H31</f>
        <v>#DIV/0!</v>
      </c>
      <c r="I32" s="8"/>
      <c r="J32" s="8" t="e">
        <f>J31*2</f>
        <v>#DIV/0!</v>
      </c>
      <c r="K32" s="8" t="s">
        <v>95</v>
      </c>
      <c r="O32" s="34" t="e">
        <f t="shared" ref="O32" si="11">J32</f>
        <v>#DIV/0!</v>
      </c>
    </row>
    <row r="33" spans="2:11" x14ac:dyDescent="0.25">
      <c r="B33" s="8" t="s">
        <v>55</v>
      </c>
      <c r="C33" s="8" t="e">
        <f>J31/MAX(H31,H32)</f>
        <v>#DIV/0!</v>
      </c>
      <c r="D33" s="8" t="s">
        <v>93</v>
      </c>
      <c r="E33" s="8"/>
      <c r="F33" s="8"/>
      <c r="G33" s="8"/>
      <c r="H33" s="8"/>
      <c r="I33" s="8"/>
      <c r="J33" s="8" t="e">
        <f>J32/données!M3</f>
        <v>#DIV/0!</v>
      </c>
      <c r="K33" s="8"/>
    </row>
    <row r="34" spans="2:11" x14ac:dyDescent="0.25">
      <c r="B34" s="8" t="s">
        <v>55</v>
      </c>
      <c r="C34" s="8" t="e">
        <f>2*C33</f>
        <v>#DIV/0!</v>
      </c>
      <c r="D34" s="8" t="s">
        <v>95</v>
      </c>
      <c r="E34" s="8"/>
      <c r="F34" s="8"/>
      <c r="G34" s="8"/>
      <c r="H34" s="8"/>
      <c r="I34" s="8"/>
      <c r="J34" s="8"/>
      <c r="K34" s="8"/>
    </row>
    <row r="35" spans="2:11" x14ac:dyDescent="0.25">
      <c r="B35" s="8" t="s">
        <v>55</v>
      </c>
      <c r="C35" s="8" t="e">
        <f>C34/données!M3</f>
        <v>#DIV/0!</v>
      </c>
      <c r="D35" s="8" t="s">
        <v>96</v>
      </c>
      <c r="E35" s="8"/>
      <c r="F35" s="8"/>
      <c r="G35" s="8"/>
      <c r="H35" s="8"/>
      <c r="I35" s="8"/>
      <c r="J35" s="8"/>
      <c r="K35" s="8"/>
    </row>
    <row r="36" spans="2:11" x14ac:dyDescent="0.25"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2:11" x14ac:dyDescent="0.25">
      <c r="B37" s="8" t="s">
        <v>14</v>
      </c>
      <c r="C37" s="8" t="s">
        <v>14</v>
      </c>
      <c r="D37" s="8"/>
      <c r="E37" s="8"/>
      <c r="F37" s="8"/>
      <c r="G37" s="8"/>
      <c r="H37" s="8"/>
      <c r="I37" s="8"/>
      <c r="J37" s="133">
        <v>448.48655778866902</v>
      </c>
      <c r="K37" s="135" t="e">
        <f>(J37-J33)/J37</f>
        <v>#DIV/0!</v>
      </c>
    </row>
    <row r="38" spans="2:11" x14ac:dyDescent="0.25">
      <c r="B38" s="31" t="e">
        <f>D3*C35*1</f>
        <v>#DIV/0!</v>
      </c>
      <c r="C38" s="33" t="s">
        <v>97</v>
      </c>
      <c r="D38" s="8"/>
      <c r="E38" s="127">
        <f>F38*(1-0.097)</f>
        <v>4849.7330295032243</v>
      </c>
      <c r="F38" s="134">
        <v>5370.6899551530723</v>
      </c>
      <c r="G38" s="8"/>
      <c r="H38" s="8"/>
      <c r="I38" s="8"/>
      <c r="J38" s="8"/>
      <c r="K38" s="8"/>
    </row>
    <row r="39" spans="2:11" x14ac:dyDescent="0.25">
      <c r="B39" s="61" t="e">
        <f>B38/1000</f>
        <v>#DIV/0!</v>
      </c>
      <c r="C39" t="s">
        <v>98</v>
      </c>
      <c r="D39" t="e">
        <f>(4.54-B39)/4.54</f>
        <v>#DIV/0!</v>
      </c>
    </row>
    <row r="40" spans="2:11" x14ac:dyDescent="0.25">
      <c r="B40" s="32"/>
    </row>
    <row r="41" spans="2:11" x14ac:dyDescent="0.25">
      <c r="B41" s="32"/>
    </row>
    <row r="42" spans="2:11" x14ac:dyDescent="0.25">
      <c r="B42" s="32"/>
    </row>
    <row r="43" spans="2:11" x14ac:dyDescent="0.25">
      <c r="B43" s="2" t="s">
        <v>16</v>
      </c>
      <c r="C43" s="2" t="s">
        <v>34</v>
      </c>
      <c r="D43" s="2" t="s">
        <v>7</v>
      </c>
    </row>
    <row r="44" spans="2:11" x14ac:dyDescent="0.25">
      <c r="B44" s="2">
        <v>1</v>
      </c>
      <c r="C44" s="2">
        <v>0</v>
      </c>
      <c r="D44" s="2">
        <f>D46</f>
        <v>112</v>
      </c>
    </row>
    <row r="45" spans="2:11" x14ac:dyDescent="0.25">
      <c r="B45" s="2">
        <v>2</v>
      </c>
      <c r="C45" s="7">
        <f>C46-largeur_eff_semelle!O10</f>
        <v>15</v>
      </c>
      <c r="D45" s="2">
        <f>D46</f>
        <v>112</v>
      </c>
    </row>
    <row r="46" spans="2:11" x14ac:dyDescent="0.25">
      <c r="B46" s="2">
        <v>3</v>
      </c>
      <c r="C46" s="2">
        <f>C44+30/2</f>
        <v>15</v>
      </c>
      <c r="D46" s="2">
        <f>D48</f>
        <v>112</v>
      </c>
    </row>
    <row r="47" spans="2:11" x14ac:dyDescent="0.25">
      <c r="B47" s="2">
        <v>4</v>
      </c>
      <c r="C47" s="2">
        <f>C46+7</f>
        <v>22</v>
      </c>
      <c r="D47" s="2">
        <f>D48-7</f>
        <v>105</v>
      </c>
    </row>
    <row r="48" spans="2:11" x14ac:dyDescent="0.25">
      <c r="B48" s="2">
        <v>5</v>
      </c>
      <c r="C48" s="2">
        <f>C47+7</f>
        <v>29</v>
      </c>
      <c r="D48" s="2">
        <f>D49</f>
        <v>112</v>
      </c>
    </row>
    <row r="49" spans="2:4" x14ac:dyDescent="0.25">
      <c r="B49" s="2">
        <v>6</v>
      </c>
      <c r="C49" s="7" t="e">
        <f>C48+largeur_eff_semelle!O5</f>
        <v>#DIV/0!</v>
      </c>
      <c r="D49" s="2">
        <f>D54+30</f>
        <v>112</v>
      </c>
    </row>
    <row r="50" spans="2:4" x14ac:dyDescent="0.25">
      <c r="B50" s="2">
        <v>7</v>
      </c>
      <c r="C50" s="7" t="e">
        <f>C48+données!E9-largeur_eff_semelle!O5</f>
        <v>#DIV/0!</v>
      </c>
      <c r="D50" s="2">
        <f>D54+30</f>
        <v>112</v>
      </c>
    </row>
    <row r="51" spans="2:4" x14ac:dyDescent="0.25">
      <c r="B51" s="2">
        <v>8</v>
      </c>
      <c r="C51" s="7">
        <f>C48+données!E9</f>
        <v>29</v>
      </c>
      <c r="D51" s="2">
        <f>D54+30</f>
        <v>112</v>
      </c>
    </row>
    <row r="52" spans="2:4" x14ac:dyDescent="0.25">
      <c r="B52" s="2">
        <v>9</v>
      </c>
      <c r="C52" s="7" t="e">
        <f>C51+COS(données!D3)*largeur_eff_ame!C6</f>
        <v>#DIV/0!</v>
      </c>
      <c r="D52" s="7" t="e">
        <f>D51+SIN('résistance_section (3)'!D3)*largeur_eff_ame!C6</f>
        <v>#DIV/0!</v>
      </c>
    </row>
    <row r="53" spans="2:4" x14ac:dyDescent="0.25">
      <c r="B53" s="2">
        <v>10</v>
      </c>
      <c r="C53" s="7" t="e">
        <f>C54-COS(données!D3)*largeur_eff_ame!C24</f>
        <v>#DIV/0!</v>
      </c>
      <c r="D53" s="7" t="e">
        <f>D54+SIN(données!D3)*largeur_eff_ame!C24</f>
        <v>#DIV/0!</v>
      </c>
    </row>
    <row r="54" spans="2:4" x14ac:dyDescent="0.25">
      <c r="B54" s="2">
        <v>11</v>
      </c>
      <c r="C54" s="7">
        <f>C51+4</f>
        <v>33</v>
      </c>
      <c r="D54" s="7">
        <f>D55+7</f>
        <v>82</v>
      </c>
    </row>
    <row r="55" spans="2:4" x14ac:dyDescent="0.25">
      <c r="B55" s="2">
        <v>12</v>
      </c>
      <c r="C55" s="7">
        <f>C54+10</f>
        <v>43</v>
      </c>
      <c r="D55" s="7">
        <v>75</v>
      </c>
    </row>
    <row r="56" spans="2:4" x14ac:dyDescent="0.25">
      <c r="B56" s="2">
        <v>13</v>
      </c>
      <c r="C56" s="7" t="e">
        <f>C55+COS(données!D3)*largeur_eff_ame!G27</f>
        <v>#DIV/0!</v>
      </c>
      <c r="D56" s="7" t="e">
        <f>D55-SIN(données!D3)*largeur_eff_ame!G27</f>
        <v>#DIV/0!</v>
      </c>
    </row>
    <row r="57" spans="2:4" x14ac:dyDescent="0.25">
      <c r="B57" s="2">
        <v>14</v>
      </c>
      <c r="C57" s="7" t="e">
        <f>C55+COS(données!D3)*(largeur_eff_ame!E27-largeur_eff_ame!H24)</f>
        <v>#DIV/0!</v>
      </c>
      <c r="D57" s="7" t="e">
        <f>D55-SIN(données!D3)*(largeur_eff_ame!E27-largeur_eff_ame!H24)</f>
        <v>#DIV/0!</v>
      </c>
    </row>
    <row r="58" spans="2:4" x14ac:dyDescent="0.25">
      <c r="B58" s="2">
        <v>15</v>
      </c>
      <c r="C58" s="7" t="e">
        <f>C55+COS(données!D3)*largeur_eff_ame!E27</f>
        <v>#DIV/0!</v>
      </c>
      <c r="D58" s="7" t="e">
        <f>D55-SIN(données!D3)*largeur_eff_ame!E27</f>
        <v>#DIV/0!</v>
      </c>
    </row>
    <row r="59" spans="2:4" x14ac:dyDescent="0.25">
      <c r="B59" s="2">
        <v>14</v>
      </c>
      <c r="C59" s="2">
        <f>C55+10</f>
        <v>53</v>
      </c>
      <c r="D59" s="2">
        <v>0</v>
      </c>
    </row>
    <row r="60" spans="2:4" x14ac:dyDescent="0.25">
      <c r="B60" s="2">
        <v>15</v>
      </c>
      <c r="C60" s="2">
        <f>C59+36</f>
        <v>89</v>
      </c>
      <c r="D60" s="2">
        <v>0</v>
      </c>
    </row>
    <row r="61" spans="2:4" x14ac:dyDescent="0.25">
      <c r="B61" s="2">
        <v>16</v>
      </c>
      <c r="C61" s="2">
        <f>C60+8</f>
        <v>97</v>
      </c>
      <c r="D61" s="2">
        <v>7</v>
      </c>
    </row>
  </sheetData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"/>
  <sheetViews>
    <sheetView workbookViewId="0">
      <selection activeCell="E13" sqref="E13"/>
    </sheetView>
  </sheetViews>
  <sheetFormatPr baseColWidth="10" defaultRowHeight="15" x14ac:dyDescent="0.25"/>
  <sheetData>
    <row r="2" spans="1:8" ht="16.5" x14ac:dyDescent="0.3">
      <c r="B2" s="2" t="s">
        <v>26</v>
      </c>
      <c r="C2" s="2" t="s">
        <v>27</v>
      </c>
      <c r="D2" s="2" t="s">
        <v>99</v>
      </c>
      <c r="E2" s="2" t="s">
        <v>100</v>
      </c>
      <c r="F2" s="2" t="s">
        <v>8</v>
      </c>
      <c r="G2" s="63" t="s">
        <v>101</v>
      </c>
    </row>
    <row r="3" spans="1:8" x14ac:dyDescent="0.25">
      <c r="B3" s="7">
        <f>données!N3</f>
        <v>0</v>
      </c>
      <c r="C3" s="7" t="e">
        <f>raidisseur!E23</f>
        <v>#DIV/0!</v>
      </c>
      <c r="D3" s="3" t="e">
        <f>données!C37/2+données!C38+données!C39+données!C40+données!C41+données!C42+données!C43/2</f>
        <v>#DIV/0!</v>
      </c>
      <c r="E3" s="3" t="e">
        <f>données!C41/2+données!C42+données!C43/2</f>
        <v>#DIV/0!</v>
      </c>
      <c r="F3" s="3">
        <v>5</v>
      </c>
      <c r="G3" s="84" t="e">
        <f>données!$E$3*(données!C11*F3^2/12+(F3/2)^2*2*largeur_eff_ame!C6)</f>
        <v>#DIV/0!</v>
      </c>
    </row>
    <row r="5" spans="1:8" ht="16.5" x14ac:dyDescent="0.3">
      <c r="B5" s="2" t="s">
        <v>102</v>
      </c>
    </row>
    <row r="6" spans="1:8" x14ac:dyDescent="0.25">
      <c r="B6" s="3" t="e">
        <f>5.34+2.1/données!E3*(G3/D3)^(1/3)</f>
        <v>#DIV/0!</v>
      </c>
    </row>
    <row r="8" spans="1:8" ht="18.75" x14ac:dyDescent="0.35">
      <c r="A8" s="1" t="s">
        <v>103</v>
      </c>
      <c r="B8" s="2" t="s">
        <v>104</v>
      </c>
      <c r="C8" s="1" t="s">
        <v>105</v>
      </c>
    </row>
    <row r="9" spans="1:8" x14ac:dyDescent="0.25">
      <c r="A9" s="3" t="e">
        <f>G3</f>
        <v>#DIV/0!</v>
      </c>
      <c r="B9" s="3" t="e">
        <f>0.346*D3/données!E3*(5.34/eff_tranchant!B6*données!G3/données!H3)^0.5</f>
        <v>#DIV/0!</v>
      </c>
      <c r="C9" s="3" t="e">
        <f>0.346*E3/données!E3*(données!G3/données!H3)^0.5</f>
        <v>#DIV/0!</v>
      </c>
    </row>
    <row r="11" spans="1:8" x14ac:dyDescent="0.25">
      <c r="B11" s="95" t="s">
        <v>106</v>
      </c>
    </row>
    <row r="12" spans="1:8" ht="18" x14ac:dyDescent="0.35">
      <c r="A12" s="44" t="s">
        <v>107</v>
      </c>
      <c r="B12" s="67" t="s">
        <v>108</v>
      </c>
      <c r="C12" s="1" t="s">
        <v>109</v>
      </c>
      <c r="D12" s="1" t="s">
        <v>109</v>
      </c>
      <c r="E12" s="1" t="s">
        <v>110</v>
      </c>
      <c r="G12" s="1" t="s">
        <v>111</v>
      </c>
    </row>
    <row r="13" spans="1:8" x14ac:dyDescent="0.25">
      <c r="A13" s="1">
        <v>1</v>
      </c>
      <c r="B13" s="67" t="e">
        <f>0.67*données!G3/B9^2</f>
        <v>#DIV/0!</v>
      </c>
      <c r="C13" s="3" t="e">
        <f>B3/SIN(données!D3)*données!E3*B13/A13</f>
        <v>#DIV/0!</v>
      </c>
      <c r="D13" s="3" t="e">
        <f>C13/0.124</f>
        <v>#DIV/0!</v>
      </c>
      <c r="E13" s="3" t="e">
        <f>D13/1000</f>
        <v>#DIV/0!</v>
      </c>
      <c r="F13" s="64" t="s">
        <v>83</v>
      </c>
      <c r="G13" s="65" t="e">
        <f>#REF!/2</f>
        <v>#REF!</v>
      </c>
      <c r="H13" s="66" t="e">
        <f>0.5*E13</f>
        <v>#DIV/0!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H4" sqref="H4"/>
    </sheetView>
  </sheetViews>
  <sheetFormatPr baseColWidth="10" defaultRowHeight="15" x14ac:dyDescent="0.25"/>
  <sheetData>
    <row r="1" spans="1:13" x14ac:dyDescent="0.25">
      <c r="A1" s="68"/>
      <c r="B1" s="68"/>
      <c r="C1" s="68"/>
      <c r="D1" s="68"/>
      <c r="E1" s="68"/>
      <c r="F1" s="68"/>
      <c r="G1" s="68"/>
      <c r="H1" s="68"/>
      <c r="I1" s="68"/>
      <c r="J1" s="68"/>
      <c r="K1" s="8"/>
      <c r="L1" s="8"/>
      <c r="M1" s="8"/>
    </row>
    <row r="2" spans="1:13" ht="16.5" x14ac:dyDescent="0.3">
      <c r="A2" s="68"/>
      <c r="B2" s="69" t="s">
        <v>18</v>
      </c>
      <c r="C2" s="69" t="s">
        <v>19</v>
      </c>
      <c r="D2" s="69" t="s">
        <v>20</v>
      </c>
      <c r="E2" s="69" t="s">
        <v>0</v>
      </c>
      <c r="F2" s="69" t="s">
        <v>21</v>
      </c>
      <c r="G2" s="69" t="s">
        <v>2</v>
      </c>
      <c r="H2" s="69" t="s">
        <v>117</v>
      </c>
      <c r="I2" s="69" t="s">
        <v>26</v>
      </c>
      <c r="J2" s="70" t="s">
        <v>113</v>
      </c>
      <c r="K2" s="8"/>
      <c r="L2" s="8"/>
      <c r="M2" s="8"/>
    </row>
    <row r="3" spans="1:13" x14ac:dyDescent="0.25">
      <c r="A3" s="69"/>
      <c r="B3" s="69" t="e">
        <f>données!B3</f>
        <v>#DIV/0!</v>
      </c>
      <c r="C3" s="71"/>
      <c r="D3" s="71"/>
      <c r="E3" s="72">
        <f>données!E3</f>
        <v>0</v>
      </c>
      <c r="F3" s="72">
        <f>données!G3</f>
        <v>0</v>
      </c>
      <c r="G3" s="71">
        <v>210000</v>
      </c>
      <c r="H3" s="71">
        <f>données!K3</f>
        <v>0</v>
      </c>
      <c r="I3" s="71">
        <f>données!D15</f>
        <v>0</v>
      </c>
      <c r="J3" s="71" t="e">
        <f>B3/PI()*180</f>
        <v>#DIV/0!</v>
      </c>
      <c r="K3" s="8"/>
      <c r="L3" s="8"/>
      <c r="M3" s="8"/>
    </row>
    <row r="4" spans="1:13" x14ac:dyDescent="0.25">
      <c r="A4" s="68"/>
      <c r="B4" s="68"/>
      <c r="C4" s="68"/>
      <c r="D4" s="68"/>
      <c r="E4" s="68"/>
      <c r="F4" s="68"/>
      <c r="G4" s="68"/>
      <c r="H4" s="68"/>
      <c r="I4" s="68"/>
      <c r="J4" s="68"/>
      <c r="K4" s="8"/>
      <c r="L4" s="8"/>
      <c r="M4" s="8"/>
    </row>
    <row r="5" spans="1:13" ht="16.5" x14ac:dyDescent="0.3">
      <c r="A5" s="68"/>
      <c r="B5" s="69" t="s">
        <v>15</v>
      </c>
      <c r="C5" s="69" t="s">
        <v>54</v>
      </c>
      <c r="D5" s="69" t="s">
        <v>52</v>
      </c>
      <c r="E5" s="69" t="s">
        <v>53</v>
      </c>
      <c r="F5" s="68"/>
      <c r="G5" s="68"/>
      <c r="H5" s="68"/>
      <c r="I5" s="73"/>
      <c r="J5" s="73"/>
    </row>
    <row r="6" spans="1:13" x14ac:dyDescent="0.25">
      <c r="A6" s="68"/>
      <c r="B6" s="69">
        <v>1</v>
      </c>
      <c r="C6" s="71">
        <f>données!C6</f>
        <v>0</v>
      </c>
      <c r="D6" s="71">
        <f>données!D6</f>
        <v>0</v>
      </c>
      <c r="E6" s="71">
        <f>données!E6</f>
        <v>0</v>
      </c>
      <c r="F6" s="68"/>
      <c r="G6" s="68"/>
      <c r="H6" s="68"/>
      <c r="I6" s="73"/>
      <c r="J6" s="73"/>
    </row>
    <row r="7" spans="1:13" x14ac:dyDescent="0.25">
      <c r="A7" s="68"/>
      <c r="B7" s="69">
        <v>2</v>
      </c>
      <c r="C7" s="71">
        <f>données!C7</f>
        <v>0</v>
      </c>
      <c r="D7" s="71">
        <f>données!D7</f>
        <v>0</v>
      </c>
      <c r="E7" s="71">
        <f>données!E7</f>
        <v>0</v>
      </c>
      <c r="F7" s="68"/>
      <c r="G7" s="68"/>
      <c r="H7" s="68"/>
      <c r="I7" s="73"/>
      <c r="J7" s="73"/>
    </row>
    <row r="8" spans="1:13" x14ac:dyDescent="0.25">
      <c r="A8" s="68"/>
      <c r="B8" s="69">
        <v>3</v>
      </c>
      <c r="C8" s="71">
        <f>données!C8</f>
        <v>0</v>
      </c>
      <c r="D8" s="71">
        <f>données!D8</f>
        <v>0</v>
      </c>
      <c r="E8" s="71">
        <f>données!E8</f>
        <v>0</v>
      </c>
      <c r="F8" s="68"/>
      <c r="G8" s="68"/>
      <c r="H8" s="68"/>
      <c r="I8" s="73"/>
      <c r="J8" s="73"/>
    </row>
    <row r="9" spans="1:13" x14ac:dyDescent="0.25">
      <c r="A9" s="68"/>
      <c r="B9" s="69">
        <v>4</v>
      </c>
      <c r="C9" s="71">
        <f>données!C9</f>
        <v>0</v>
      </c>
      <c r="D9" s="71">
        <f>données!D9</f>
        <v>0</v>
      </c>
      <c r="E9" s="71">
        <f>données!E9</f>
        <v>0</v>
      </c>
      <c r="F9" s="68"/>
      <c r="G9" s="68"/>
      <c r="H9" s="68"/>
      <c r="I9" s="73"/>
      <c r="J9" s="73"/>
    </row>
    <row r="10" spans="1:13" x14ac:dyDescent="0.25">
      <c r="A10" s="68"/>
      <c r="B10" s="69">
        <v>5</v>
      </c>
      <c r="C10" s="71">
        <f>données!C10</f>
        <v>0</v>
      </c>
      <c r="D10" s="71">
        <f>données!D10</f>
        <v>0</v>
      </c>
      <c r="E10" s="71">
        <f>données!E10</f>
        <v>0</v>
      </c>
      <c r="F10" s="68"/>
      <c r="G10" s="68"/>
      <c r="H10" s="68"/>
      <c r="I10" s="73"/>
      <c r="J10" s="73"/>
    </row>
    <row r="11" spans="1:13" x14ac:dyDescent="0.25">
      <c r="A11" s="68"/>
      <c r="B11" s="69">
        <v>6</v>
      </c>
      <c r="C11" s="71">
        <f>données!C11</f>
        <v>0</v>
      </c>
      <c r="D11" s="71">
        <f>données!D11</f>
        <v>0</v>
      </c>
      <c r="E11" s="71">
        <f>données!E11</f>
        <v>0</v>
      </c>
      <c r="F11" s="68"/>
      <c r="G11" s="68"/>
      <c r="H11" s="68"/>
      <c r="I11" s="73"/>
      <c r="J11" s="73"/>
    </row>
    <row r="12" spans="1:13" x14ac:dyDescent="0.25">
      <c r="A12" s="68"/>
      <c r="B12" s="69">
        <v>7</v>
      </c>
      <c r="C12" s="71">
        <f>données!C12</f>
        <v>0</v>
      </c>
      <c r="D12" s="71">
        <f>données!D12</f>
        <v>0</v>
      </c>
      <c r="E12" s="71">
        <f>données!E12</f>
        <v>0</v>
      </c>
      <c r="F12" s="68"/>
      <c r="G12" s="68"/>
      <c r="H12" s="68"/>
      <c r="I12" s="73"/>
      <c r="J12" s="73"/>
    </row>
    <row r="13" spans="1:13" x14ac:dyDescent="0.25">
      <c r="A13" s="68"/>
      <c r="B13" s="74">
        <v>8</v>
      </c>
      <c r="C13" s="71">
        <f>données!C13</f>
        <v>0</v>
      </c>
      <c r="D13" s="71">
        <f>données!D13</f>
        <v>0</v>
      </c>
      <c r="E13" s="71">
        <f>données!E13</f>
        <v>0</v>
      </c>
      <c r="F13" s="68"/>
      <c r="G13" s="68"/>
      <c r="H13" s="68"/>
      <c r="I13" s="73"/>
      <c r="J13" s="73"/>
    </row>
    <row r="14" spans="1:13" x14ac:dyDescent="0.25">
      <c r="A14" s="68"/>
      <c r="B14" s="74">
        <v>9</v>
      </c>
      <c r="C14" s="71"/>
      <c r="D14" s="71"/>
      <c r="E14" s="71"/>
      <c r="F14" s="68"/>
      <c r="G14" s="68"/>
      <c r="H14" s="68"/>
      <c r="I14" s="73"/>
      <c r="J14" s="73"/>
    </row>
    <row r="15" spans="1:13" x14ac:dyDescent="0.25">
      <c r="A15" s="68"/>
      <c r="B15" s="68"/>
      <c r="C15" s="68"/>
      <c r="D15" s="75"/>
      <c r="E15" s="75"/>
      <c r="F15" s="68"/>
      <c r="G15" s="68"/>
      <c r="H15" s="68"/>
      <c r="I15" s="73"/>
      <c r="J15" s="73"/>
    </row>
    <row r="16" spans="1:13" x14ac:dyDescent="0.25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8"/>
      <c r="L16" s="8"/>
      <c r="M16" s="8"/>
    </row>
    <row r="17" spans="1:15" x14ac:dyDescent="0.25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8"/>
      <c r="L17" s="8"/>
      <c r="M17" s="8"/>
    </row>
    <row r="18" spans="1:15" ht="16.5" x14ac:dyDescent="0.3">
      <c r="B18" s="71" t="s">
        <v>114</v>
      </c>
      <c r="C18" s="119" t="s">
        <v>139</v>
      </c>
      <c r="D18" s="71" t="s">
        <v>118</v>
      </c>
      <c r="E18" s="120" t="s">
        <v>140</v>
      </c>
      <c r="F18" s="68" t="s">
        <v>141</v>
      </c>
      <c r="G18" s="68"/>
      <c r="H18" s="68"/>
      <c r="I18" s="68"/>
      <c r="J18" s="68"/>
      <c r="K18" s="8"/>
      <c r="L18" s="8"/>
      <c r="M18" s="8"/>
    </row>
    <row r="19" spans="1:15" x14ac:dyDescent="0.25">
      <c r="B19" s="71" t="e">
        <f>H3/E3</f>
        <v>#DIV/0!</v>
      </c>
      <c r="C19" s="71" t="e">
        <f>I3/E3</f>
        <v>#DIV/0!</v>
      </c>
      <c r="D19" s="71" t="e">
        <f>200*SIN(J3*PI()/180)</f>
        <v>#DIV/0!</v>
      </c>
      <c r="E19" s="68">
        <v>40</v>
      </c>
      <c r="F19" s="68">
        <f>1.5*I3</f>
        <v>0</v>
      </c>
      <c r="G19" s="68"/>
      <c r="H19" s="68"/>
      <c r="I19" s="68"/>
      <c r="J19" s="68"/>
      <c r="K19" s="8"/>
      <c r="L19" s="8"/>
      <c r="M19" s="8"/>
    </row>
    <row r="20" spans="1:15" x14ac:dyDescent="0.25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8"/>
      <c r="L20" s="8"/>
      <c r="M20" s="8"/>
    </row>
    <row r="21" spans="1:15" x14ac:dyDescent="0.25">
      <c r="A21" s="68"/>
      <c r="B21" s="76"/>
      <c r="C21" s="76"/>
      <c r="D21" s="76"/>
      <c r="E21" s="68"/>
      <c r="F21" s="68"/>
      <c r="G21" s="68"/>
      <c r="H21" s="68"/>
      <c r="I21" s="68"/>
      <c r="J21" s="68"/>
      <c r="K21" s="8"/>
      <c r="L21" s="8"/>
      <c r="M21" s="8"/>
    </row>
    <row r="22" spans="1:15" x14ac:dyDescent="0.25">
      <c r="A22" s="68"/>
      <c r="B22" s="68"/>
      <c r="C22" s="68"/>
      <c r="D22" s="68"/>
      <c r="E22" s="68"/>
      <c r="F22" s="68"/>
      <c r="G22" s="68"/>
      <c r="H22" s="68"/>
      <c r="I22" s="122" t="s">
        <v>122</v>
      </c>
      <c r="J22" s="68"/>
      <c r="K22" s="8"/>
      <c r="L22" s="8"/>
      <c r="M22" s="8"/>
    </row>
    <row r="23" spans="1:15" ht="16.5" x14ac:dyDescent="0.3">
      <c r="A23" s="68"/>
      <c r="B23" s="69" t="s">
        <v>119</v>
      </c>
      <c r="C23" s="77" t="s">
        <v>11</v>
      </c>
      <c r="D23" s="69" t="s">
        <v>120</v>
      </c>
      <c r="E23" s="69" t="s">
        <v>143</v>
      </c>
      <c r="F23" s="116"/>
      <c r="G23" s="116"/>
      <c r="H23" s="118"/>
      <c r="I23" s="123"/>
      <c r="J23" s="69" t="s">
        <v>121</v>
      </c>
      <c r="K23" s="69" t="s">
        <v>138</v>
      </c>
      <c r="L23" s="8"/>
      <c r="M23" s="8"/>
    </row>
    <row r="24" spans="1:15" x14ac:dyDescent="0.25">
      <c r="A24" s="69" t="s">
        <v>115</v>
      </c>
      <c r="B24" s="121">
        <v>10</v>
      </c>
      <c r="C24" s="69">
        <v>7.4999999999999997E-2</v>
      </c>
      <c r="D24" s="69">
        <v>1</v>
      </c>
      <c r="E24" s="78" t="e">
        <f>C24*$E$3^2*($F$3*$G$3)^0.5*(1-0.1*$B$19^0.5)*(0.5+(0.02*B24/$E$3)^0.5)*(2.4+($J$3/90)^2)/D24</f>
        <v>#DIV/0!</v>
      </c>
      <c r="F24" s="125"/>
      <c r="G24" s="125"/>
      <c r="H24" s="117"/>
      <c r="I24" s="124"/>
      <c r="J24" s="71" t="e">
        <f>E24/données!$M$3*2*1000+K26</f>
        <v>#DIV/0!</v>
      </c>
      <c r="K24" s="78" t="e">
        <f>J24/1000</f>
        <v>#DIV/0!</v>
      </c>
      <c r="L24" s="8"/>
      <c r="M24" s="8" t="e">
        <f>0.95+35000*$E$3^2*$G$24/((données!$C$44*2)^2)/données!$C$42</f>
        <v>#DIV/0!</v>
      </c>
      <c r="O24" t="e">
        <f>F24/E3</f>
        <v>#DIV/0!</v>
      </c>
    </row>
    <row r="25" spans="1:15" x14ac:dyDescent="0.25">
      <c r="A25" s="69" t="s">
        <v>116</v>
      </c>
      <c r="B25" s="79">
        <v>160</v>
      </c>
      <c r="C25" s="69">
        <v>0.15</v>
      </c>
      <c r="D25" s="69">
        <v>1</v>
      </c>
      <c r="E25" s="78" t="e">
        <f>C25*$E$3^2*($F$3*$G$3)^0.5*(1-0.1*$B$19^0.5)*(0.5+(0.02*B25/$E$3)^0.5)*(2.4+($J$3/90)^2)/D25</f>
        <v>#DIV/0!</v>
      </c>
      <c r="F25" s="117"/>
      <c r="G25" s="117"/>
      <c r="H25" s="117"/>
      <c r="I25" s="124"/>
      <c r="J25" s="71" t="e">
        <f>E25/données!$M$3*2*1000</f>
        <v>#DIV/0!</v>
      </c>
      <c r="K25" s="78" t="e">
        <f t="shared" ref="K25:K26" si="0">J25/1000</f>
        <v>#DIV/0!</v>
      </c>
      <c r="L25" s="8"/>
      <c r="M25" s="8" t="e">
        <f>0.95+35000*$E$3^2*$G$24/((données!$C$44*2)^2)/données!$C$42</f>
        <v>#DIV/0!</v>
      </c>
    </row>
    <row r="26" spans="1:15" x14ac:dyDescent="0.25">
      <c r="A26" s="69" t="s">
        <v>116</v>
      </c>
      <c r="B26" s="79">
        <v>60</v>
      </c>
      <c r="C26" s="69">
        <v>0.15</v>
      </c>
      <c r="D26" s="69">
        <v>1</v>
      </c>
      <c r="E26" s="78" t="e">
        <f>C26*$E$3^2*($F$3*$G$3)^0.5*(1-0.1*$B$19^0.5)*(0.5+(0.02*B26/$E$3)^0.5)*(2.4+($J$3/90)^2)/D26</f>
        <v>#DIV/0!</v>
      </c>
      <c r="F26" s="117"/>
      <c r="G26" s="117"/>
      <c r="H26" s="117"/>
      <c r="I26" s="124"/>
      <c r="J26" s="71" t="e">
        <f>E26/données!$M$3*2*1000</f>
        <v>#DIV/0!</v>
      </c>
      <c r="K26" s="78" t="e">
        <f t="shared" si="0"/>
        <v>#DIV/0!</v>
      </c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"/>
  <sheetViews>
    <sheetView workbookViewId="0">
      <selection activeCell="J5" sqref="J5"/>
    </sheetView>
  </sheetViews>
  <sheetFormatPr baseColWidth="10" defaultRowHeight="15" x14ac:dyDescent="0.25"/>
  <cols>
    <col min="2" max="2" width="5.42578125" bestFit="1" customWidth="1"/>
    <col min="3" max="3" width="4.42578125" bestFit="1" customWidth="1"/>
    <col min="4" max="4" width="11.28515625" bestFit="1" customWidth="1"/>
    <col min="5" max="5" width="10.28515625" bestFit="1" customWidth="1"/>
    <col min="6" max="6" width="4.42578125" bestFit="1" customWidth="1"/>
    <col min="7" max="7" width="6.85546875" customWidth="1"/>
    <col min="8" max="8" width="4.42578125" customWidth="1"/>
    <col min="9" max="9" width="5.42578125" bestFit="1" customWidth="1"/>
    <col min="10" max="10" width="7.140625" customWidth="1"/>
    <col min="11" max="11" width="5.42578125" customWidth="1"/>
    <col min="12" max="12" width="7.7109375" customWidth="1"/>
    <col min="13" max="13" width="5.42578125" bestFit="1" customWidth="1"/>
    <col min="14" max="14" width="7.85546875" bestFit="1" customWidth="1"/>
    <col min="15" max="15" width="8.42578125" bestFit="1" customWidth="1"/>
  </cols>
  <sheetData>
    <row r="2" spans="2:15" x14ac:dyDescent="0.25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2:15" x14ac:dyDescent="0.2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2:15" ht="16.5" x14ac:dyDescent="0.3">
      <c r="B4" s="2" t="s">
        <v>22</v>
      </c>
      <c r="C4" s="2" t="s">
        <v>0</v>
      </c>
      <c r="D4" s="2" t="s">
        <v>21</v>
      </c>
      <c r="E4" s="2" t="s">
        <v>2</v>
      </c>
      <c r="F4" s="2" t="s">
        <v>1</v>
      </c>
      <c r="G4" s="47" t="s">
        <v>79</v>
      </c>
      <c r="H4" s="44" t="s">
        <v>75</v>
      </c>
      <c r="I4" s="2" t="s">
        <v>23</v>
      </c>
      <c r="J4" s="45" t="s">
        <v>77</v>
      </c>
      <c r="K4" s="46" t="s">
        <v>78</v>
      </c>
      <c r="L4" s="2" t="s">
        <v>76</v>
      </c>
      <c r="M4" s="2" t="s">
        <v>3</v>
      </c>
      <c r="N4" s="11" t="s">
        <v>24</v>
      </c>
      <c r="O4" s="11" t="s">
        <v>4</v>
      </c>
    </row>
    <row r="5" spans="2:15" x14ac:dyDescent="0.25">
      <c r="B5" s="7" t="e">
        <f>données!C8-données!C18</f>
        <v>#DIV/0!</v>
      </c>
      <c r="C5" s="7">
        <f>données!E3</f>
        <v>0</v>
      </c>
      <c r="D5" s="42">
        <f>données!G3</f>
        <v>0</v>
      </c>
      <c r="E5" s="7">
        <f>données!H3</f>
        <v>0</v>
      </c>
      <c r="F5" s="7">
        <v>4</v>
      </c>
      <c r="G5" s="7">
        <v>1</v>
      </c>
      <c r="H5" s="7" t="e">
        <f>(235/D5)^0.5</f>
        <v>#DIV/0!</v>
      </c>
      <c r="I5" s="12" t="e">
        <f>B5/C5/28.4/H5/(F5)^0.5</f>
        <v>#DIV/0!</v>
      </c>
      <c r="J5" s="12" t="e">
        <f>MIN(D5,D5*(données!$J$30-données!$L$45)/données!$L$45)</f>
        <v>#DIV/0!</v>
      </c>
      <c r="K5" s="12">
        <v>1</v>
      </c>
      <c r="L5" s="12" t="e">
        <f>I5*SQRT(J5/D5/K5)</f>
        <v>#DIV/0!</v>
      </c>
      <c r="M5" s="12" t="e">
        <f>IF(L5&gt;0.673,(L5-0.055*(3+G5))/L5^2+0.18*(I5-L5)/(I5-0.6),1)</f>
        <v>#DIV/0!</v>
      </c>
      <c r="N5" s="7" t="e">
        <f>M5*B5</f>
        <v>#DIV/0!</v>
      </c>
      <c r="O5" s="86" t="e">
        <f>N5/2</f>
        <v>#DIV/0!</v>
      </c>
    </row>
    <row r="6" spans="2:15" x14ac:dyDescent="0.25">
      <c r="B6" s="8"/>
      <c r="C6" s="8"/>
      <c r="D6" s="43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2:15" x14ac:dyDescent="0.25">
      <c r="B7" s="8"/>
      <c r="C7" s="8"/>
      <c r="D7" s="43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2:15" x14ac:dyDescent="0.25">
      <c r="B8" s="8"/>
      <c r="C8" s="8"/>
      <c r="D8" s="43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2:15" x14ac:dyDescent="0.25">
      <c r="B9" s="2"/>
      <c r="C9" s="2"/>
      <c r="D9" s="11"/>
      <c r="E9" s="2"/>
      <c r="F9" s="2"/>
      <c r="G9" s="47"/>
      <c r="H9" s="44"/>
      <c r="I9" s="2"/>
      <c r="J9" s="45"/>
      <c r="K9" s="46"/>
      <c r="L9" s="2"/>
      <c r="M9" s="2"/>
      <c r="N9" s="11"/>
      <c r="O9" s="11"/>
    </row>
    <row r="10" spans="2:15" x14ac:dyDescent="0.25">
      <c r="B10" s="13"/>
      <c r="C10" s="7"/>
      <c r="D10" s="42"/>
      <c r="E10" s="7"/>
      <c r="F10" s="7"/>
      <c r="G10" s="7"/>
      <c r="H10" s="7"/>
      <c r="I10" s="12"/>
      <c r="J10" s="12"/>
      <c r="K10" s="12"/>
      <c r="L10" s="12"/>
      <c r="M10" s="12"/>
      <c r="N10" s="7"/>
      <c r="O10" s="86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2"/>
  <sheetViews>
    <sheetView workbookViewId="0">
      <selection activeCell="G32" sqref="G32"/>
    </sheetView>
  </sheetViews>
  <sheetFormatPr baseColWidth="10" defaultRowHeight="15" x14ac:dyDescent="0.25"/>
  <cols>
    <col min="2" max="2" width="11.42578125" bestFit="1" customWidth="1"/>
    <col min="3" max="3" width="7.7109375" bestFit="1" customWidth="1"/>
    <col min="4" max="4" width="8.28515625" bestFit="1" customWidth="1"/>
    <col min="5" max="5" width="12.85546875" customWidth="1"/>
    <col min="6" max="6" width="8.42578125" customWidth="1"/>
    <col min="7" max="7" width="10.28515625" bestFit="1" customWidth="1"/>
    <col min="8" max="8" width="7.42578125" bestFit="1" customWidth="1"/>
    <col min="11" max="11" width="14.85546875" bestFit="1" customWidth="1"/>
    <col min="12" max="12" width="17" customWidth="1"/>
    <col min="13" max="13" width="17" bestFit="1" customWidth="1"/>
    <col min="14" max="15" width="14.85546875" bestFit="1" customWidth="1"/>
    <col min="16" max="16" width="16.140625" bestFit="1" customWidth="1"/>
    <col min="17" max="17" width="17" bestFit="1" customWidth="1"/>
    <col min="18" max="18" width="14.85546875" bestFit="1" customWidth="1"/>
  </cols>
  <sheetData>
    <row r="2" spans="1:18" ht="16.5" x14ac:dyDescent="0.3">
      <c r="B2" s="2" t="s">
        <v>25</v>
      </c>
      <c r="C2" s="2" t="s">
        <v>22</v>
      </c>
      <c r="D2" s="2" t="s">
        <v>0</v>
      </c>
      <c r="E2" s="2" t="s">
        <v>2</v>
      </c>
      <c r="F2" s="140" t="s">
        <v>8</v>
      </c>
      <c r="G2" s="8"/>
      <c r="H2" s="8"/>
      <c r="I2" s="8"/>
      <c r="J2" s="8"/>
    </row>
    <row r="3" spans="1:18" x14ac:dyDescent="0.25">
      <c r="B3" s="7">
        <f>(données!C30+données!C31)*2</f>
        <v>0</v>
      </c>
      <c r="C3" s="7" t="e">
        <f>largeur_eff_semelle!B5</f>
        <v>#DIV/0!</v>
      </c>
      <c r="D3" s="2">
        <f>données!E3</f>
        <v>0</v>
      </c>
      <c r="E3" s="7">
        <f>données!H3</f>
        <v>0</v>
      </c>
      <c r="F3" s="140">
        <f>données!D8</f>
        <v>0</v>
      </c>
      <c r="G3" s="8"/>
      <c r="H3" s="8"/>
      <c r="I3" s="8"/>
      <c r="J3" s="8"/>
    </row>
    <row r="4" spans="1:18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8" ht="18.75" x14ac:dyDescent="0.3">
      <c r="B5" s="14" t="s">
        <v>5</v>
      </c>
      <c r="C5" s="14" t="s">
        <v>44</v>
      </c>
      <c r="D5" s="14" t="s">
        <v>47</v>
      </c>
      <c r="E5" s="14" t="s">
        <v>45</v>
      </c>
      <c r="F5" s="14" t="s">
        <v>48</v>
      </c>
      <c r="G5" s="14" t="s">
        <v>46</v>
      </c>
      <c r="H5" s="14" t="s">
        <v>8</v>
      </c>
      <c r="I5" s="14" t="s">
        <v>49</v>
      </c>
      <c r="J5" s="8"/>
      <c r="K5" s="14" t="s">
        <v>35</v>
      </c>
      <c r="L5" s="14" t="s">
        <v>36</v>
      </c>
      <c r="M5" s="14" t="s">
        <v>37</v>
      </c>
      <c r="N5" s="14" t="s">
        <v>38</v>
      </c>
      <c r="O5" s="14" t="s">
        <v>39</v>
      </c>
      <c r="P5" s="14" t="s">
        <v>40</v>
      </c>
      <c r="Q5" s="14" t="s">
        <v>41</v>
      </c>
      <c r="R5" s="14"/>
    </row>
    <row r="6" spans="1:18" ht="18.75" x14ac:dyDescent="0.3">
      <c r="A6" s="4"/>
      <c r="B6" s="14" t="s">
        <v>80</v>
      </c>
      <c r="C6" s="15">
        <f>15*D$3</f>
        <v>0</v>
      </c>
      <c r="D6" s="15">
        <f>C6*$D$3</f>
        <v>0</v>
      </c>
      <c r="E6" s="15">
        <v>0</v>
      </c>
      <c r="F6" s="15">
        <f>D6*E6</f>
        <v>0</v>
      </c>
      <c r="G6" s="16" t="e">
        <f>$G$11-E6</f>
        <v>#DIV/0!</v>
      </c>
      <c r="H6" s="16">
        <f>raidisseur!D3</f>
        <v>0</v>
      </c>
      <c r="I6" s="7" t="e">
        <f>D6*H6^2/12+D6*G6^2</f>
        <v>#DIV/0!</v>
      </c>
      <c r="J6" s="8"/>
      <c r="K6" s="2" t="s">
        <v>42</v>
      </c>
      <c r="L6" s="2"/>
      <c r="M6" s="2" t="s">
        <v>43</v>
      </c>
      <c r="N6" s="2"/>
      <c r="O6" s="2" t="s">
        <v>123</v>
      </c>
      <c r="P6" s="2"/>
      <c r="Q6" s="2" t="s">
        <v>124</v>
      </c>
      <c r="R6" s="2"/>
    </row>
    <row r="7" spans="1:18" x14ac:dyDescent="0.25">
      <c r="A7" s="4"/>
      <c r="B7" s="14">
        <v>2</v>
      </c>
      <c r="C7" s="15">
        <f>données!$C$31</f>
        <v>0</v>
      </c>
      <c r="D7" s="15">
        <f>C7*$D$3</f>
        <v>0</v>
      </c>
      <c r="E7" s="15">
        <f>données!D7/2</f>
        <v>0</v>
      </c>
      <c r="F7" s="15">
        <f t="shared" ref="F7:F10" si="0">D7*E7</f>
        <v>0</v>
      </c>
      <c r="G7" s="16" t="e">
        <f>$G$11-E7</f>
        <v>#DIV/0!</v>
      </c>
      <c r="H7" s="16">
        <f>données!M31</f>
        <v>0</v>
      </c>
      <c r="I7" s="7" t="e">
        <f>D7*H7^2/12+D7*G7^2</f>
        <v>#DIV/0!</v>
      </c>
      <c r="J7" s="8"/>
      <c r="K7" s="8"/>
      <c r="L7" s="8"/>
    </row>
    <row r="8" spans="1:18" x14ac:dyDescent="0.25">
      <c r="A8" s="4"/>
      <c r="B8" s="14">
        <v>3</v>
      </c>
      <c r="C8" s="15">
        <f>données!C30*2</f>
        <v>0</v>
      </c>
      <c r="D8" s="15">
        <f>C8*$D$3</f>
        <v>0</v>
      </c>
      <c r="E8" s="50">
        <f>données!D7</f>
        <v>0</v>
      </c>
      <c r="F8" s="15">
        <f t="shared" si="0"/>
        <v>0</v>
      </c>
      <c r="G8" s="16" t="e">
        <f>$G$11-E8</f>
        <v>#DIV/0!</v>
      </c>
      <c r="H8" s="16">
        <f>données!M32</f>
        <v>0</v>
      </c>
      <c r="I8" s="7" t="e">
        <f>D8*H8^2/12+D8*G8^2</f>
        <v>#DIV/0!</v>
      </c>
      <c r="J8" s="8"/>
      <c r="K8" s="8"/>
      <c r="L8" s="8"/>
    </row>
    <row r="9" spans="1:18" x14ac:dyDescent="0.25">
      <c r="A9" s="4"/>
      <c r="B9" s="14">
        <v>4</v>
      </c>
      <c r="C9" s="15">
        <f>données!$C$31</f>
        <v>0</v>
      </c>
      <c r="D9" s="15">
        <f>C9*$D$3</f>
        <v>0</v>
      </c>
      <c r="E9" s="17">
        <f>E7</f>
        <v>0</v>
      </c>
      <c r="F9" s="15">
        <f t="shared" si="0"/>
        <v>0</v>
      </c>
      <c r="G9" s="16" t="e">
        <f>$G$11-E9</f>
        <v>#DIV/0!</v>
      </c>
      <c r="H9" s="16">
        <f>H7</f>
        <v>0</v>
      </c>
      <c r="I9" s="7" t="e">
        <f>D9*H9^2/12+D9*G9^2</f>
        <v>#DIV/0!</v>
      </c>
      <c r="J9" s="8"/>
      <c r="K9" s="8"/>
      <c r="L9" s="8"/>
    </row>
    <row r="10" spans="1:18" x14ac:dyDescent="0.25">
      <c r="B10" s="14" t="s">
        <v>81</v>
      </c>
      <c r="C10" s="15">
        <f>15*D$3</f>
        <v>0</v>
      </c>
      <c r="D10" s="15">
        <f>C10*$D$3</f>
        <v>0</v>
      </c>
      <c r="E10" s="15">
        <v>0</v>
      </c>
      <c r="F10" s="15">
        <f t="shared" si="0"/>
        <v>0</v>
      </c>
      <c r="G10" s="16" t="e">
        <f>$G$11-E10</f>
        <v>#DIV/0!</v>
      </c>
      <c r="H10" s="16">
        <f>données!M36</f>
        <v>0</v>
      </c>
      <c r="I10" s="7" t="e">
        <f>D10*H10^2/12+D10*G10^2</f>
        <v>#DIV/0!</v>
      </c>
      <c r="J10" s="8"/>
    </row>
    <row r="11" spans="1:18" x14ac:dyDescent="0.25">
      <c r="B11" s="27" t="s">
        <v>6</v>
      </c>
      <c r="C11" s="17"/>
      <c r="D11" s="28">
        <f>SUM(D6:D10)</f>
        <v>0</v>
      </c>
      <c r="E11" s="18"/>
      <c r="F11" s="15">
        <f>SUM(F6:F10)</f>
        <v>0</v>
      </c>
      <c r="G11" s="18" t="e">
        <f>F11/D11</f>
        <v>#DIV/0!</v>
      </c>
      <c r="H11" s="18"/>
      <c r="I11" s="7" t="e">
        <f>SUM(I6:I10)</f>
        <v>#DIV/0!</v>
      </c>
      <c r="J11" s="8"/>
    </row>
    <row r="12" spans="1:18" x14ac:dyDescent="0.25">
      <c r="B12" s="19"/>
      <c r="C12" s="19"/>
      <c r="D12" s="19"/>
      <c r="E12" s="19"/>
      <c r="F12" s="19"/>
      <c r="G12" s="19"/>
      <c r="H12" s="20"/>
      <c r="I12" s="20"/>
      <c r="J12" s="20"/>
      <c r="K12" s="8"/>
      <c r="L12" s="8"/>
    </row>
    <row r="13" spans="1:18" ht="16.5" x14ac:dyDescent="0.3">
      <c r="B13" s="14" t="s">
        <v>5</v>
      </c>
      <c r="C13" s="14" t="s">
        <v>44</v>
      </c>
      <c r="D13" s="14" t="s">
        <v>47</v>
      </c>
      <c r="E13" s="14"/>
      <c r="F13" s="14"/>
      <c r="G13" s="14"/>
      <c r="H13" s="14"/>
      <c r="I13" s="14"/>
      <c r="J13" s="8"/>
      <c r="K13" s="14" t="s">
        <v>35</v>
      </c>
      <c r="L13" s="14" t="s">
        <v>36</v>
      </c>
      <c r="M13" s="14" t="s">
        <v>37</v>
      </c>
      <c r="N13" s="14" t="s">
        <v>38</v>
      </c>
      <c r="O13" s="14" t="s">
        <v>39</v>
      </c>
      <c r="P13" s="14" t="s">
        <v>40</v>
      </c>
      <c r="Q13" s="14" t="s">
        <v>41</v>
      </c>
      <c r="R13" s="14"/>
    </row>
    <row r="14" spans="1:18" ht="18.75" x14ac:dyDescent="0.3">
      <c r="A14" s="4"/>
      <c r="B14" s="14" t="s">
        <v>80</v>
      </c>
      <c r="C14" s="15" t="e">
        <f>largeur_eff_semelle!O5</f>
        <v>#DIV/0!</v>
      </c>
      <c r="D14" s="15" t="e">
        <f>C14*$D$3</f>
        <v>#DIV/0!</v>
      </c>
      <c r="E14" s="15"/>
      <c r="F14" s="15"/>
      <c r="G14" s="16"/>
      <c r="H14" s="16"/>
      <c r="I14" s="13"/>
      <c r="J14" s="8"/>
      <c r="K14" s="2" t="s">
        <v>42</v>
      </c>
      <c r="L14" s="2"/>
      <c r="M14" s="2" t="s">
        <v>43</v>
      </c>
      <c r="N14" s="2"/>
      <c r="O14" s="2" t="s">
        <v>123</v>
      </c>
      <c r="P14" s="2"/>
      <c r="Q14" s="2" t="s">
        <v>124</v>
      </c>
      <c r="R14" s="2"/>
    </row>
    <row r="15" spans="1:18" x14ac:dyDescent="0.25">
      <c r="A15" s="4"/>
      <c r="B15" s="14">
        <v>2</v>
      </c>
      <c r="C15" s="15">
        <f>C7</f>
        <v>0</v>
      </c>
      <c r="D15" s="15">
        <f t="shared" ref="D15:D18" si="1">C15*$D$3</f>
        <v>0</v>
      </c>
      <c r="E15" s="15"/>
      <c r="F15" s="15"/>
      <c r="G15" s="16"/>
      <c r="H15" s="16"/>
      <c r="I15" s="6"/>
      <c r="J15" s="8"/>
      <c r="K15" s="8"/>
      <c r="L15" s="8"/>
    </row>
    <row r="16" spans="1:18" x14ac:dyDescent="0.25">
      <c r="A16" s="4"/>
      <c r="B16" s="14">
        <v>3</v>
      </c>
      <c r="C16" s="15">
        <f t="shared" ref="C16:C17" si="2">C8</f>
        <v>0</v>
      </c>
      <c r="D16" s="15">
        <f t="shared" si="1"/>
        <v>0</v>
      </c>
      <c r="E16" s="50"/>
      <c r="F16" s="15"/>
      <c r="G16" s="16"/>
      <c r="H16" s="16"/>
      <c r="I16" s="7"/>
      <c r="J16" s="8"/>
      <c r="K16" s="8"/>
      <c r="L16" s="8"/>
    </row>
    <row r="17" spans="1:12" x14ac:dyDescent="0.25">
      <c r="A17" s="4"/>
      <c r="B17" s="14">
        <v>4</v>
      </c>
      <c r="C17" s="15">
        <f t="shared" si="2"/>
        <v>0</v>
      </c>
      <c r="D17" s="15">
        <f t="shared" si="1"/>
        <v>0</v>
      </c>
      <c r="E17" s="17"/>
      <c r="F17" s="15"/>
      <c r="G17" s="16"/>
      <c r="H17" s="16"/>
      <c r="I17" s="6"/>
      <c r="J17" s="8"/>
      <c r="K17" s="8"/>
      <c r="L17" s="8"/>
    </row>
    <row r="18" spans="1:12" x14ac:dyDescent="0.25">
      <c r="B18" s="14" t="s">
        <v>81</v>
      </c>
      <c r="C18" s="15" t="e">
        <f>largeur_eff_semelle!O5</f>
        <v>#DIV/0!</v>
      </c>
      <c r="D18" s="15" t="e">
        <f t="shared" si="1"/>
        <v>#DIV/0!</v>
      </c>
      <c r="E18" s="15"/>
      <c r="F18" s="15"/>
      <c r="G18" s="16"/>
      <c r="H18" s="16"/>
      <c r="I18" s="87"/>
      <c r="J18" s="8"/>
    </row>
    <row r="19" spans="1:12" x14ac:dyDescent="0.25">
      <c r="B19" s="27" t="s">
        <v>6</v>
      </c>
      <c r="C19" s="17"/>
      <c r="D19" s="28" t="e">
        <f>SUM(D14:D18)</f>
        <v>#DIV/0!</v>
      </c>
      <c r="E19" s="18"/>
      <c r="F19" s="15"/>
      <c r="G19" s="18"/>
      <c r="H19" s="18"/>
      <c r="I19" s="7"/>
      <c r="J19" s="8"/>
    </row>
    <row r="20" spans="1:12" x14ac:dyDescent="0.25">
      <c r="B20" s="19"/>
      <c r="C20" s="19"/>
      <c r="D20" s="19"/>
      <c r="E20" s="19"/>
      <c r="F20" s="19"/>
      <c r="G20" s="19"/>
      <c r="H20" s="20"/>
      <c r="I20" s="20"/>
      <c r="J20" s="20"/>
      <c r="K20" s="8"/>
      <c r="L20" s="8"/>
    </row>
    <row r="21" spans="1:12" x14ac:dyDescent="0.25">
      <c r="B21" s="19"/>
      <c r="C21" s="19"/>
      <c r="D21" s="19"/>
      <c r="E21" s="19"/>
      <c r="F21" s="19"/>
      <c r="G21" s="19"/>
      <c r="H21" s="20"/>
      <c r="I21" s="20"/>
      <c r="J21" s="20"/>
      <c r="K21" s="8"/>
      <c r="L21" s="8"/>
    </row>
    <row r="22" spans="1:12" ht="16.5" x14ac:dyDescent="0.3">
      <c r="B22" s="2" t="s">
        <v>148</v>
      </c>
      <c r="C22" s="2"/>
      <c r="D22" s="2" t="s">
        <v>26</v>
      </c>
      <c r="E22" s="2" t="s">
        <v>27</v>
      </c>
      <c r="F22" s="2" t="s">
        <v>28</v>
      </c>
      <c r="G22" s="141" t="s">
        <v>149</v>
      </c>
      <c r="H22" s="2" t="s">
        <v>129</v>
      </c>
      <c r="I22" s="2" t="s">
        <v>29</v>
      </c>
      <c r="J22" s="8"/>
      <c r="K22" s="8"/>
      <c r="L22" s="8"/>
    </row>
    <row r="23" spans="1:12" x14ac:dyDescent="0.25">
      <c r="B23" s="7" t="e">
        <f>2*C3+B3</f>
        <v>#DIV/0!</v>
      </c>
      <c r="C23" s="7"/>
      <c r="D23" s="7">
        <f>données!N3</f>
        <v>0</v>
      </c>
      <c r="E23" s="7" t="e">
        <f>données!O3</f>
        <v>#DIV/0!</v>
      </c>
      <c r="F23" s="7" t="e">
        <f>3.07*(I11*C3^2*(2*C3+3*B3)/D3^3)^0.25</f>
        <v>#DIV/0!</v>
      </c>
      <c r="G23" s="7" t="e">
        <f>F23/E23</f>
        <v>#DIV/0!</v>
      </c>
      <c r="H23" s="7" t="e">
        <f>((E23+2*B23)/(E23+0.5*B23))^0.5</f>
        <v>#DIV/0!</v>
      </c>
      <c r="I23" s="88" t="e">
        <f>IF(G23&gt;2,H23,(H23-(H23-1)*(2*F23/E23-(F23/E23)^2)))</f>
        <v>#DIV/0!</v>
      </c>
      <c r="J23" s="8"/>
      <c r="K23" s="8"/>
      <c r="L23" s="8"/>
    </row>
    <row r="24" spans="1:12" x14ac:dyDescent="0.25"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12" ht="16.5" x14ac:dyDescent="0.3">
      <c r="B25" s="2" t="s">
        <v>50</v>
      </c>
      <c r="C25" s="8"/>
      <c r="D25" s="8"/>
      <c r="E25" s="8"/>
      <c r="F25" s="8"/>
      <c r="G25" s="8"/>
      <c r="H25" s="8"/>
      <c r="I25" s="8"/>
      <c r="J25" s="8"/>
      <c r="K25" s="8"/>
    </row>
    <row r="26" spans="1:12" x14ac:dyDescent="0.25">
      <c r="B26" s="7" t="e">
        <f>4.2*I23*E3/D19*(I11*D3^3/4/C3^2/(2*C3+3*B3))^0.5</f>
        <v>#DIV/0!</v>
      </c>
      <c r="C26" s="8"/>
      <c r="D26" s="8"/>
      <c r="E26" s="8"/>
      <c r="F26" s="8"/>
      <c r="G26" s="8"/>
      <c r="H26" s="8"/>
      <c r="I26" s="8"/>
      <c r="J26" s="8"/>
      <c r="K26" s="8"/>
    </row>
    <row r="28" spans="1:12" ht="16.5" x14ac:dyDescent="0.3">
      <c r="B28" s="2" t="s">
        <v>21</v>
      </c>
      <c r="C28" s="2" t="s">
        <v>10</v>
      </c>
      <c r="D28" s="2" t="s">
        <v>130</v>
      </c>
      <c r="E28" s="2" t="s">
        <v>131</v>
      </c>
    </row>
    <row r="29" spans="1:12" x14ac:dyDescent="0.25">
      <c r="B29" s="6">
        <f>données!G3</f>
        <v>0</v>
      </c>
      <c r="C29" s="12" t="e">
        <f>(B29/B26)^0.5</f>
        <v>#DIV/0!</v>
      </c>
      <c r="D29" t="e">
        <f>IF(C29&lt;0.65,1,(1.47-0.723*C29))</f>
        <v>#DIV/0!</v>
      </c>
      <c r="E29" t="e">
        <f>IF(C29&gt;1.38,0.66/C29,D29)</f>
        <v>#DIV/0!</v>
      </c>
    </row>
    <row r="31" spans="1:12" ht="16.5" x14ac:dyDescent="0.3">
      <c r="B31" s="7" t="s">
        <v>12</v>
      </c>
      <c r="C31" s="14" t="s">
        <v>56</v>
      </c>
      <c r="E31" t="s">
        <v>146</v>
      </c>
    </row>
    <row r="32" spans="1:12" x14ac:dyDescent="0.25">
      <c r="B32" s="89" t="e">
        <f>E29</f>
        <v>#DIV/0!</v>
      </c>
      <c r="C32" s="15" t="e">
        <f>B32*données!E3</f>
        <v>#DIV/0!</v>
      </c>
      <c r="E32" t="e">
        <f>B29/largeur_eff_semelle!K5/largeur_eff_semelle!J5</f>
        <v>#DIV/0!</v>
      </c>
      <c r="G32" t="e">
        <f>B32*E32</f>
        <v>#DIV/0!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"/>
  <sheetViews>
    <sheetView workbookViewId="0">
      <selection activeCell="O10" sqref="O10"/>
    </sheetView>
  </sheetViews>
  <sheetFormatPr baseColWidth="10" defaultRowHeight="15" x14ac:dyDescent="0.25"/>
  <cols>
    <col min="2" max="2" width="5.42578125" bestFit="1" customWidth="1"/>
    <col min="3" max="3" width="4.42578125" bestFit="1" customWidth="1"/>
    <col min="4" max="4" width="11.28515625" bestFit="1" customWidth="1"/>
    <col min="5" max="5" width="10.28515625" bestFit="1" customWidth="1"/>
    <col min="6" max="6" width="4.42578125" bestFit="1" customWidth="1"/>
    <col min="7" max="7" width="6.85546875" customWidth="1"/>
    <col min="8" max="8" width="4.42578125" customWidth="1"/>
    <col min="9" max="9" width="5.42578125" bestFit="1" customWidth="1"/>
    <col min="10" max="10" width="7.140625" customWidth="1"/>
    <col min="11" max="11" width="5.42578125" customWidth="1"/>
    <col min="12" max="12" width="7.7109375" customWidth="1"/>
    <col min="13" max="13" width="5.42578125" bestFit="1" customWidth="1"/>
    <col min="14" max="14" width="7.85546875" bestFit="1" customWidth="1"/>
    <col min="15" max="15" width="8.42578125" bestFit="1" customWidth="1"/>
  </cols>
  <sheetData>
    <row r="2" spans="2:15" x14ac:dyDescent="0.25">
      <c r="B2" s="8" t="s">
        <v>150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2:15" x14ac:dyDescent="0.2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2:15" ht="16.5" x14ac:dyDescent="0.3">
      <c r="B4" s="2" t="s">
        <v>22</v>
      </c>
      <c r="C4" s="2" t="s">
        <v>0</v>
      </c>
      <c r="D4" s="2" t="s">
        <v>21</v>
      </c>
      <c r="E4" s="2" t="s">
        <v>2</v>
      </c>
      <c r="F4" s="2" t="s">
        <v>1</v>
      </c>
      <c r="G4" s="47" t="s">
        <v>79</v>
      </c>
      <c r="H4" s="44" t="s">
        <v>75</v>
      </c>
      <c r="I4" s="2" t="s">
        <v>23</v>
      </c>
      <c r="J4" s="45" t="s">
        <v>77</v>
      </c>
      <c r="K4" s="46" t="s">
        <v>78</v>
      </c>
      <c r="L4" s="2" t="s">
        <v>76</v>
      </c>
      <c r="M4" s="2" t="s">
        <v>3</v>
      </c>
      <c r="N4" s="11" t="s">
        <v>24</v>
      </c>
      <c r="O4" s="11" t="s">
        <v>4</v>
      </c>
    </row>
    <row r="5" spans="2:15" x14ac:dyDescent="0.25">
      <c r="B5" s="7" t="e">
        <f>largeur_eff_semelle!B5</f>
        <v>#DIV/0!</v>
      </c>
      <c r="C5" s="7">
        <f>données!E3</f>
        <v>0</v>
      </c>
      <c r="D5" s="42">
        <f>données!G3</f>
        <v>0</v>
      </c>
      <c r="E5" s="7">
        <f>données!H3</f>
        <v>0</v>
      </c>
      <c r="F5" s="7">
        <v>4</v>
      </c>
      <c r="G5" s="7">
        <v>1</v>
      </c>
      <c r="H5" s="7" t="e">
        <f>(235/D5)^0.5</f>
        <v>#DIV/0!</v>
      </c>
      <c r="I5" s="12" t="e">
        <f>B5/C5/28.4/H5/(F5)^0.5</f>
        <v>#DIV/0!</v>
      </c>
      <c r="J5" s="12" t="e">
        <f>MIN(D5,raidisseur!B32*D5*(données!$J$30-données!$L$45)/données!$L$45)</f>
        <v>#DIV/0!</v>
      </c>
      <c r="K5" s="12">
        <v>1</v>
      </c>
      <c r="L5" s="12" t="e">
        <f>I5*SQRT(J5/D5/K5)</f>
        <v>#DIV/0!</v>
      </c>
      <c r="M5" s="12" t="e">
        <f>IF(L5&gt;0.673,(L5-0.055*(3+G5))/L5^2+0.18*(I5-L5)/(I5-0.6),1)</f>
        <v>#DIV/0!</v>
      </c>
      <c r="N5" s="7" t="e">
        <f>M5*B5</f>
        <v>#DIV/0!</v>
      </c>
      <c r="O5" s="86" t="e">
        <f>N5/2</f>
        <v>#DIV/0!</v>
      </c>
    </row>
    <row r="6" spans="2:15" x14ac:dyDescent="0.25">
      <c r="B6" s="8"/>
      <c r="C6" s="8"/>
      <c r="D6" s="43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2:15" x14ac:dyDescent="0.25">
      <c r="B7" s="8" t="s">
        <v>17</v>
      </c>
      <c r="C7" s="8"/>
      <c r="D7" s="43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2:15" x14ac:dyDescent="0.25">
      <c r="B8" s="8"/>
      <c r="C8" s="8"/>
      <c r="D8" s="43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2:15" ht="16.5" x14ac:dyDescent="0.3">
      <c r="B9" s="2" t="s">
        <v>22</v>
      </c>
      <c r="C9" s="2" t="s">
        <v>0</v>
      </c>
      <c r="D9" s="11" t="s">
        <v>21</v>
      </c>
      <c r="E9" s="2" t="s">
        <v>2</v>
      </c>
      <c r="F9" s="2" t="s">
        <v>1</v>
      </c>
      <c r="G9" s="47" t="s">
        <v>79</v>
      </c>
      <c r="H9" s="44" t="s">
        <v>75</v>
      </c>
      <c r="I9" s="2" t="s">
        <v>23</v>
      </c>
      <c r="J9" s="45" t="s">
        <v>77</v>
      </c>
      <c r="K9" s="46" t="s">
        <v>78</v>
      </c>
      <c r="L9" s="2" t="s">
        <v>76</v>
      </c>
      <c r="M9" s="2" t="s">
        <v>3</v>
      </c>
      <c r="N9" s="11" t="s">
        <v>24</v>
      </c>
      <c r="O9" s="11" t="s">
        <v>4</v>
      </c>
    </row>
    <row r="10" spans="2:15" x14ac:dyDescent="0.25">
      <c r="B10" s="13" t="e">
        <f>largeur_eff_semelle!B5</f>
        <v>#DIV/0!</v>
      </c>
      <c r="C10" s="7">
        <f>données!$E$3</f>
        <v>0</v>
      </c>
      <c r="D10" s="42">
        <f>données!$G$3</f>
        <v>0</v>
      </c>
      <c r="E10" s="7">
        <f>données!$H$3</f>
        <v>0</v>
      </c>
      <c r="F10" s="7">
        <v>4</v>
      </c>
      <c r="G10" s="7">
        <v>1</v>
      </c>
      <c r="H10" s="7" t="e">
        <f>(235/D10)^0.5</f>
        <v>#DIV/0!</v>
      </c>
      <c r="I10" s="12" t="e">
        <f>B10/C10/28.4/H10/(F10)^0.5</f>
        <v>#DIV/0!</v>
      </c>
      <c r="J10" s="12" t="e">
        <f>MIN(D10,D10*(données!$J$30-données!$L$45)/données!$L$45)</f>
        <v>#DIV/0!</v>
      </c>
      <c r="K10" s="12">
        <v>1</v>
      </c>
      <c r="L10" s="12" t="e">
        <f>I10*SQRT(J10/D10/K10)</f>
        <v>#DIV/0!</v>
      </c>
      <c r="M10" s="12" t="e">
        <f>IF(L10&gt;0.673,(L10-0.055*(3+G10))/L10^2+0.18*(I10-L10)/(I10-0.6),1)</f>
        <v>#DIV/0!</v>
      </c>
      <c r="N10" s="7" t="e">
        <f>M10*B10</f>
        <v>#DIV/0!</v>
      </c>
      <c r="O10" s="86" t="e">
        <f>N10/2</f>
        <v>#DIV/0!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2"/>
  <sheetViews>
    <sheetView workbookViewId="0">
      <selection activeCell="C19" sqref="C19"/>
    </sheetView>
  </sheetViews>
  <sheetFormatPr baseColWidth="10" defaultRowHeight="15" x14ac:dyDescent="0.25"/>
  <cols>
    <col min="2" max="2" width="11.42578125" bestFit="1" customWidth="1"/>
    <col min="3" max="3" width="7.7109375" bestFit="1" customWidth="1"/>
    <col min="4" max="4" width="8.28515625" bestFit="1" customWidth="1"/>
    <col min="5" max="5" width="11.28515625" customWidth="1"/>
    <col min="6" max="6" width="8.42578125" customWidth="1"/>
    <col min="7" max="7" width="10.28515625" bestFit="1" customWidth="1"/>
    <col min="8" max="8" width="7.42578125" bestFit="1" customWidth="1"/>
    <col min="11" max="11" width="14.85546875" bestFit="1" customWidth="1"/>
    <col min="12" max="12" width="17" customWidth="1"/>
    <col min="13" max="13" width="17" bestFit="1" customWidth="1"/>
    <col min="14" max="15" width="14.85546875" bestFit="1" customWidth="1"/>
    <col min="16" max="16" width="16.140625" bestFit="1" customWidth="1"/>
    <col min="17" max="17" width="17" bestFit="1" customWidth="1"/>
    <col min="18" max="18" width="14.85546875" bestFit="1" customWidth="1"/>
  </cols>
  <sheetData>
    <row r="2" spans="1:18" ht="16.5" x14ac:dyDescent="0.3">
      <c r="B2" s="2" t="s">
        <v>25</v>
      </c>
      <c r="C2" s="2" t="s">
        <v>22</v>
      </c>
      <c r="D2" s="2" t="s">
        <v>0</v>
      </c>
      <c r="E2" s="2" t="s">
        <v>2</v>
      </c>
      <c r="F2" s="11" t="s">
        <v>8</v>
      </c>
      <c r="G2" s="8"/>
      <c r="H2" s="8"/>
      <c r="I2" s="8"/>
      <c r="J2" s="8"/>
    </row>
    <row r="3" spans="1:18" x14ac:dyDescent="0.25">
      <c r="B3" s="7">
        <f>raidisseur!B3</f>
        <v>0</v>
      </c>
      <c r="C3" s="7" t="e">
        <f>raidisseur!C3</f>
        <v>#DIV/0!</v>
      </c>
      <c r="D3" s="2">
        <f>données!E3</f>
        <v>0</v>
      </c>
      <c r="E3" s="7">
        <f>données!H3</f>
        <v>0</v>
      </c>
      <c r="F3" s="13">
        <f>données!D8</f>
        <v>0</v>
      </c>
      <c r="G3" s="8"/>
      <c r="H3" s="8"/>
      <c r="I3" s="8"/>
      <c r="J3" s="8"/>
    </row>
    <row r="4" spans="1:18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8" ht="18.75" x14ac:dyDescent="0.3">
      <c r="B5" s="14" t="s">
        <v>5</v>
      </c>
      <c r="C5" s="14" t="s">
        <v>44</v>
      </c>
      <c r="D5" s="14" t="s">
        <v>47</v>
      </c>
      <c r="E5" s="14" t="s">
        <v>45</v>
      </c>
      <c r="F5" s="14" t="s">
        <v>48</v>
      </c>
      <c r="G5" s="14" t="s">
        <v>46</v>
      </c>
      <c r="H5" s="14" t="s">
        <v>8</v>
      </c>
      <c r="I5" s="14" t="s">
        <v>49</v>
      </c>
      <c r="J5" s="8"/>
      <c r="K5" s="14" t="s">
        <v>35</v>
      </c>
      <c r="L5" s="14" t="s">
        <v>36</v>
      </c>
      <c r="M5" s="14" t="s">
        <v>37</v>
      </c>
      <c r="N5" s="14" t="s">
        <v>38</v>
      </c>
      <c r="O5" s="14" t="s">
        <v>39</v>
      </c>
      <c r="P5" s="14" t="s">
        <v>40</v>
      </c>
      <c r="Q5" s="14" t="s">
        <v>41</v>
      </c>
      <c r="R5" s="14"/>
    </row>
    <row r="6" spans="1:18" ht="18.75" x14ac:dyDescent="0.3">
      <c r="A6" s="4"/>
      <c r="B6" s="14" t="s">
        <v>80</v>
      </c>
      <c r="C6" s="15">
        <f>raidisseur!C6</f>
        <v>0</v>
      </c>
      <c r="D6" s="15">
        <f>C6*$D$3</f>
        <v>0</v>
      </c>
      <c r="E6" s="15">
        <f>raidisseur!E6</f>
        <v>0</v>
      </c>
      <c r="F6" s="15">
        <f>D6*E6</f>
        <v>0</v>
      </c>
      <c r="G6" s="16" t="e">
        <f>$G$11-E6</f>
        <v>#DIV/0!</v>
      </c>
      <c r="H6" s="15">
        <f>raidisseur!H6</f>
        <v>0</v>
      </c>
      <c r="I6" s="7" t="e">
        <f>D6*H6^2/12+D6*G6^2</f>
        <v>#DIV/0!</v>
      </c>
      <c r="J6" s="8"/>
      <c r="K6" s="2" t="s">
        <v>42</v>
      </c>
      <c r="L6" s="2"/>
      <c r="M6" s="2" t="s">
        <v>43</v>
      </c>
      <c r="N6" s="2"/>
      <c r="O6" s="2" t="s">
        <v>123</v>
      </c>
      <c r="P6" s="2"/>
      <c r="Q6" s="2" t="s">
        <v>124</v>
      </c>
      <c r="R6" s="2"/>
    </row>
    <row r="7" spans="1:18" x14ac:dyDescent="0.25">
      <c r="A7" s="4"/>
      <c r="B7" s="14">
        <v>2</v>
      </c>
      <c r="C7" s="15">
        <f>raidisseur!C7</f>
        <v>0</v>
      </c>
      <c r="D7" s="15">
        <f>C7*$D$3</f>
        <v>0</v>
      </c>
      <c r="E7" s="15">
        <f>raidisseur!E7</f>
        <v>0</v>
      </c>
      <c r="F7" s="15">
        <f t="shared" ref="F7:F10" si="0">D7*E7</f>
        <v>0</v>
      </c>
      <c r="G7" s="16" t="e">
        <f>$G$11-E7</f>
        <v>#DIV/0!</v>
      </c>
      <c r="H7" s="15">
        <f>raidisseur!H7</f>
        <v>0</v>
      </c>
      <c r="I7" s="7" t="e">
        <f t="shared" ref="I7:I10" si="1">D7*H7^2/12+D7*G7^2</f>
        <v>#DIV/0!</v>
      </c>
      <c r="J7" s="8"/>
      <c r="K7" s="8"/>
      <c r="L7" s="8"/>
    </row>
    <row r="8" spans="1:18" x14ac:dyDescent="0.25">
      <c r="A8" s="4"/>
      <c r="B8" s="14">
        <v>3</v>
      </c>
      <c r="C8" s="15">
        <f>raidisseur!C8</f>
        <v>0</v>
      </c>
      <c r="D8" s="15">
        <f>C8*$D$3</f>
        <v>0</v>
      </c>
      <c r="E8" s="15">
        <f>raidisseur!E8</f>
        <v>0</v>
      </c>
      <c r="F8" s="15">
        <f t="shared" si="0"/>
        <v>0</v>
      </c>
      <c r="G8" s="16" t="e">
        <f>$G$11-E8</f>
        <v>#DIV/0!</v>
      </c>
      <c r="H8" s="15">
        <f>raidisseur!H8</f>
        <v>0</v>
      </c>
      <c r="I8" s="7" t="e">
        <f t="shared" si="1"/>
        <v>#DIV/0!</v>
      </c>
      <c r="J8" s="8"/>
      <c r="K8" s="8"/>
      <c r="L8" s="8"/>
    </row>
    <row r="9" spans="1:18" x14ac:dyDescent="0.25">
      <c r="A9" s="4"/>
      <c r="B9" s="14">
        <v>4</v>
      </c>
      <c r="C9" s="15">
        <f>raidisseur!C9</f>
        <v>0</v>
      </c>
      <c r="D9" s="15">
        <f>C9*$D$3</f>
        <v>0</v>
      </c>
      <c r="E9" s="15">
        <f>raidisseur!E9</f>
        <v>0</v>
      </c>
      <c r="F9" s="15">
        <f t="shared" si="0"/>
        <v>0</v>
      </c>
      <c r="G9" s="16" t="e">
        <f>$G$11-E9</f>
        <v>#DIV/0!</v>
      </c>
      <c r="H9" s="15">
        <f>raidisseur!H9</f>
        <v>0</v>
      </c>
      <c r="I9" s="7" t="e">
        <f t="shared" si="1"/>
        <v>#DIV/0!</v>
      </c>
      <c r="J9" s="8"/>
      <c r="K9" s="8"/>
      <c r="L9" s="8"/>
    </row>
    <row r="10" spans="1:18" x14ac:dyDescent="0.25">
      <c r="B10" s="14" t="s">
        <v>81</v>
      </c>
      <c r="C10" s="15">
        <f>raidisseur!C10</f>
        <v>0</v>
      </c>
      <c r="D10" s="15">
        <f>C10*$D$3</f>
        <v>0</v>
      </c>
      <c r="E10" s="15">
        <f>raidisseur!E10</f>
        <v>0</v>
      </c>
      <c r="F10" s="15">
        <f t="shared" si="0"/>
        <v>0</v>
      </c>
      <c r="G10" s="16" t="e">
        <f>$G$11-E10</f>
        <v>#DIV/0!</v>
      </c>
      <c r="H10" s="15">
        <f>raidisseur!H10</f>
        <v>0</v>
      </c>
      <c r="I10" s="7" t="e">
        <f t="shared" si="1"/>
        <v>#DIV/0!</v>
      </c>
      <c r="J10" s="8"/>
    </row>
    <row r="11" spans="1:18" x14ac:dyDescent="0.25">
      <c r="B11" s="27" t="s">
        <v>6</v>
      </c>
      <c r="C11" s="17"/>
      <c r="D11" s="28">
        <f>SUM(D6:D10)</f>
        <v>0</v>
      </c>
      <c r="E11" s="18"/>
      <c r="F11" s="15">
        <f>SUM(F6:F10)</f>
        <v>0</v>
      </c>
      <c r="G11" s="18" t="e">
        <f>F11/D11</f>
        <v>#DIV/0!</v>
      </c>
      <c r="H11" s="18"/>
      <c r="I11" s="7" t="e">
        <f>SUM(I6:I10)</f>
        <v>#DIV/0!</v>
      </c>
      <c r="J11" s="8"/>
    </row>
    <row r="12" spans="1:18" x14ac:dyDescent="0.25">
      <c r="B12" s="19"/>
      <c r="C12" s="19"/>
      <c r="D12" s="19"/>
      <c r="E12" s="19"/>
      <c r="F12" s="19"/>
      <c r="G12" s="19"/>
      <c r="H12" s="20"/>
      <c r="I12" s="20"/>
      <c r="J12" s="20"/>
      <c r="K12" s="8"/>
      <c r="L12" s="8"/>
    </row>
    <row r="13" spans="1:18" ht="16.5" x14ac:dyDescent="0.3">
      <c r="B13" s="14" t="s">
        <v>5</v>
      </c>
      <c r="C13" s="14" t="s">
        <v>44</v>
      </c>
      <c r="D13" s="14" t="s">
        <v>47</v>
      </c>
      <c r="E13" s="14"/>
      <c r="F13" s="14"/>
      <c r="G13" s="14"/>
      <c r="H13" s="14"/>
      <c r="I13" s="14"/>
      <c r="J13" s="8"/>
      <c r="K13" s="14" t="s">
        <v>35</v>
      </c>
      <c r="L13" s="14" t="s">
        <v>36</v>
      </c>
      <c r="M13" s="14" t="s">
        <v>37</v>
      </c>
      <c r="N13" s="14" t="s">
        <v>38</v>
      </c>
      <c r="O13" s="14" t="s">
        <v>39</v>
      </c>
      <c r="P13" s="14" t="s">
        <v>40</v>
      </c>
      <c r="Q13" s="14" t="s">
        <v>41</v>
      </c>
      <c r="R13" s="14"/>
    </row>
    <row r="14" spans="1:18" ht="18.75" x14ac:dyDescent="0.3">
      <c r="A14" s="4"/>
      <c r="B14" s="14" t="s">
        <v>80</v>
      </c>
      <c r="C14" s="15" t="e">
        <f>'largeur_eff_semelle bis'!O5</f>
        <v>#DIV/0!</v>
      </c>
      <c r="D14" s="15" t="e">
        <f>C14*$D$3</f>
        <v>#DIV/0!</v>
      </c>
      <c r="E14" s="15"/>
      <c r="F14" s="15"/>
      <c r="G14" s="16"/>
      <c r="H14" s="16"/>
      <c r="I14" s="13"/>
      <c r="J14" s="8"/>
      <c r="K14" s="2" t="s">
        <v>42</v>
      </c>
      <c r="L14" s="2"/>
      <c r="M14" s="2" t="s">
        <v>43</v>
      </c>
      <c r="N14" s="2"/>
      <c r="O14" s="2" t="s">
        <v>123</v>
      </c>
      <c r="P14" s="2"/>
      <c r="Q14" s="2" t="s">
        <v>124</v>
      </c>
      <c r="R14" s="2"/>
    </row>
    <row r="15" spans="1:18" x14ac:dyDescent="0.25">
      <c r="A15" s="4"/>
      <c r="B15" s="14">
        <v>2</v>
      </c>
      <c r="C15" s="15">
        <f>C7</f>
        <v>0</v>
      </c>
      <c r="D15" s="15">
        <f t="shared" ref="D15:D18" si="2">C15*$D$3</f>
        <v>0</v>
      </c>
      <c r="E15" s="15"/>
      <c r="F15" s="15"/>
      <c r="G15" s="16"/>
      <c r="H15" s="16"/>
      <c r="I15" s="6"/>
      <c r="J15" s="8"/>
      <c r="K15" s="8"/>
      <c r="L15" s="8"/>
    </row>
    <row r="16" spans="1:18" x14ac:dyDescent="0.25">
      <c r="A16" s="4"/>
      <c r="B16" s="14">
        <v>3</v>
      </c>
      <c r="C16" s="15">
        <f t="shared" ref="C16:C17" si="3">C8</f>
        <v>0</v>
      </c>
      <c r="D16" s="15">
        <f t="shared" si="2"/>
        <v>0</v>
      </c>
      <c r="E16" s="50"/>
      <c r="F16" s="15"/>
      <c r="G16" s="16"/>
      <c r="H16" s="16"/>
      <c r="I16" s="7"/>
      <c r="J16" s="8"/>
      <c r="K16" s="8"/>
      <c r="L16" s="8"/>
    </row>
    <row r="17" spans="1:12" x14ac:dyDescent="0.25">
      <c r="A17" s="4"/>
      <c r="B17" s="14">
        <v>4</v>
      </c>
      <c r="C17" s="15">
        <f t="shared" si="3"/>
        <v>0</v>
      </c>
      <c r="D17" s="15">
        <f t="shared" si="2"/>
        <v>0</v>
      </c>
      <c r="E17" s="17"/>
      <c r="F17" s="15"/>
      <c r="G17" s="16"/>
      <c r="H17" s="16"/>
      <c r="I17" s="6"/>
      <c r="J17" s="8"/>
      <c r="K17" s="8"/>
      <c r="L17" s="8"/>
    </row>
    <row r="18" spans="1:12" x14ac:dyDescent="0.25">
      <c r="B18" s="14" t="s">
        <v>81</v>
      </c>
      <c r="C18" s="15" t="e">
        <f>'largeur_eff_semelle bis'!O5</f>
        <v>#DIV/0!</v>
      </c>
      <c r="D18" s="15" t="e">
        <f t="shared" si="2"/>
        <v>#DIV/0!</v>
      </c>
      <c r="E18" s="15"/>
      <c r="F18" s="15"/>
      <c r="G18" s="16"/>
      <c r="H18" s="16"/>
      <c r="I18" s="87"/>
      <c r="J18" s="8"/>
    </row>
    <row r="19" spans="1:12" x14ac:dyDescent="0.25">
      <c r="B19" s="27" t="s">
        <v>6</v>
      </c>
      <c r="C19" s="17"/>
      <c r="D19" s="28" t="e">
        <f>SUM(D14:D18)</f>
        <v>#DIV/0!</v>
      </c>
      <c r="E19" s="18"/>
      <c r="F19" s="15"/>
      <c r="G19" s="18"/>
      <c r="H19" s="18"/>
      <c r="I19" s="7"/>
      <c r="J19" s="8"/>
    </row>
    <row r="20" spans="1:12" x14ac:dyDescent="0.25">
      <c r="B20" s="19"/>
      <c r="C20" s="19"/>
      <c r="D20" s="19"/>
      <c r="E20" s="19"/>
      <c r="F20" s="19"/>
      <c r="G20" s="19"/>
      <c r="H20" s="20"/>
      <c r="I20" s="20"/>
      <c r="J20" s="20"/>
      <c r="K20" s="8"/>
      <c r="L20" s="8"/>
    </row>
    <row r="21" spans="1:12" x14ac:dyDescent="0.25">
      <c r="B21" s="19"/>
      <c r="C21" s="19"/>
      <c r="D21" s="19"/>
      <c r="E21" s="19"/>
      <c r="F21" s="19"/>
      <c r="G21" s="19"/>
      <c r="H21" s="20"/>
      <c r="I21" s="20"/>
      <c r="J21" s="20"/>
      <c r="K21" s="8"/>
      <c r="L21" s="8"/>
    </row>
    <row r="22" spans="1:12" ht="16.5" x14ac:dyDescent="0.3">
      <c r="B22" s="2" t="s">
        <v>148</v>
      </c>
      <c r="C22" s="2"/>
      <c r="D22" s="2" t="s">
        <v>26</v>
      </c>
      <c r="E22" s="2" t="s">
        <v>27</v>
      </c>
      <c r="F22" s="2" t="s">
        <v>28</v>
      </c>
      <c r="G22" s="141" t="s">
        <v>149</v>
      </c>
      <c r="H22" s="2" t="s">
        <v>129</v>
      </c>
      <c r="I22" s="2" t="s">
        <v>29</v>
      </c>
      <c r="J22" s="8"/>
      <c r="K22" s="8"/>
      <c r="L22" s="8"/>
    </row>
    <row r="23" spans="1:12" x14ac:dyDescent="0.25">
      <c r="B23" s="7" t="e">
        <f>2*C3+B3</f>
        <v>#DIV/0!</v>
      </c>
      <c r="C23" s="7"/>
      <c r="D23" s="7">
        <f>données!N3</f>
        <v>0</v>
      </c>
      <c r="E23" s="7" t="e">
        <f>données!O3</f>
        <v>#DIV/0!</v>
      </c>
      <c r="F23" s="7" t="e">
        <f>3.07*(I11*C3^2*(2*C3+3*B3)/D3^3)^0.25</f>
        <v>#DIV/0!</v>
      </c>
      <c r="G23" s="7" t="e">
        <f>F23/E23</f>
        <v>#DIV/0!</v>
      </c>
      <c r="H23" s="7" t="e">
        <f>((E23+2*B23)/(E23+0.5*B23))^0.5</f>
        <v>#DIV/0!</v>
      </c>
      <c r="I23" s="88" t="e">
        <f>IF(G23&gt;2,H23,(H23-(H23-1)*(2*F23/E23-(F23/E23)^2)))</f>
        <v>#DIV/0!</v>
      </c>
      <c r="J23" s="8"/>
      <c r="K23" s="8"/>
      <c r="L23" s="8"/>
    </row>
    <row r="24" spans="1:12" x14ac:dyDescent="0.25"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12" ht="16.5" x14ac:dyDescent="0.3">
      <c r="B25" s="2" t="s">
        <v>50</v>
      </c>
      <c r="C25" s="8"/>
      <c r="D25" s="8"/>
      <c r="E25" s="8"/>
      <c r="F25" s="8"/>
      <c r="G25" s="8"/>
      <c r="H25" s="8"/>
      <c r="I25" s="8"/>
      <c r="J25" s="8"/>
      <c r="K25" s="8"/>
    </row>
    <row r="26" spans="1:12" x14ac:dyDescent="0.25">
      <c r="B26" s="7" t="e">
        <f>4.2*I23*E3/D19*(I11*D3^3/4/C3^2/(2*C3+3*B3))^0.5</f>
        <v>#DIV/0!</v>
      </c>
      <c r="C26" s="8"/>
      <c r="D26" s="8"/>
      <c r="E26" s="8"/>
      <c r="F26" s="8"/>
      <c r="G26" s="8"/>
      <c r="H26" s="8"/>
      <c r="I26" s="8"/>
      <c r="J26" s="8"/>
      <c r="K26" s="8"/>
    </row>
    <row r="28" spans="1:12" ht="16.5" x14ac:dyDescent="0.3">
      <c r="B28" s="2" t="s">
        <v>21</v>
      </c>
      <c r="C28" s="2" t="s">
        <v>10</v>
      </c>
      <c r="D28" s="2" t="s">
        <v>130</v>
      </c>
      <c r="E28" s="2" t="s">
        <v>131</v>
      </c>
    </row>
    <row r="29" spans="1:12" x14ac:dyDescent="0.25">
      <c r="B29" s="6">
        <f>données!G3</f>
        <v>0</v>
      </c>
      <c r="C29" s="12" t="e">
        <f>(B29/B26)^0.5</f>
        <v>#DIV/0!</v>
      </c>
      <c r="D29" t="e">
        <f>IF(C29&lt;0.65,1,(1.47-0.723*C29))</f>
        <v>#DIV/0!</v>
      </c>
      <c r="E29" t="e">
        <f>IF(C29&gt;1.38,0.66/C29,D29)</f>
        <v>#DIV/0!</v>
      </c>
    </row>
    <row r="31" spans="1:12" ht="16.5" x14ac:dyDescent="0.3">
      <c r="B31" s="7" t="s">
        <v>12</v>
      </c>
      <c r="C31" s="14" t="s">
        <v>56</v>
      </c>
      <c r="E31" t="s">
        <v>146</v>
      </c>
    </row>
    <row r="32" spans="1:12" x14ac:dyDescent="0.25">
      <c r="B32" s="89" t="e">
        <f>E29</f>
        <v>#DIV/0!</v>
      </c>
      <c r="C32" s="15" t="e">
        <f>B32*données!E3</f>
        <v>#DIV/0!</v>
      </c>
      <c r="E32" t="e">
        <f>B29/largeur_eff_semelle!K5/largeur_eff_semelle!J5</f>
        <v>#DIV/0!</v>
      </c>
      <c r="G32" t="e">
        <f>B32*E32</f>
        <v>#DIV/0!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7"/>
  <sheetViews>
    <sheetView workbookViewId="0">
      <selection activeCell="E6" sqref="E6"/>
    </sheetView>
  </sheetViews>
  <sheetFormatPr baseColWidth="10" defaultRowHeight="15" x14ac:dyDescent="0.25"/>
  <cols>
    <col min="6" max="6" width="11.42578125" customWidth="1"/>
  </cols>
  <sheetData>
    <row r="2" spans="2:9" ht="16.5" x14ac:dyDescent="0.3">
      <c r="B2" s="2" t="s">
        <v>0</v>
      </c>
      <c r="C2" s="2" t="s">
        <v>2</v>
      </c>
      <c r="D2" s="2" t="s">
        <v>21</v>
      </c>
      <c r="E2" s="46" t="s">
        <v>78</v>
      </c>
      <c r="F2" s="45" t="s">
        <v>77</v>
      </c>
      <c r="G2" s="2" t="s">
        <v>82</v>
      </c>
      <c r="H2" s="2" t="s">
        <v>33</v>
      </c>
      <c r="I2" s="8"/>
    </row>
    <row r="3" spans="2:9" x14ac:dyDescent="0.25">
      <c r="B3" s="2">
        <f>données!E3</f>
        <v>0</v>
      </c>
      <c r="C3" s="7">
        <f>données!H3</f>
        <v>0</v>
      </c>
      <c r="D3" s="51">
        <f>données!G3</f>
        <v>0</v>
      </c>
      <c r="E3" s="12">
        <v>1</v>
      </c>
      <c r="F3" s="12" t="e">
        <f>MIN(D3,D3*(données!$J$30-données!$L$45)/données!$L$45)</f>
        <v>#DIV/0!</v>
      </c>
      <c r="G3" s="7" t="e">
        <f>données!N3-données!L45</f>
        <v>#DIV/0!</v>
      </c>
      <c r="H3" s="2" t="e">
        <f>G3/SIN(données!B3)-données!C18</f>
        <v>#DIV/0!</v>
      </c>
      <c r="I3" s="8"/>
    </row>
    <row r="4" spans="2:9" x14ac:dyDescent="0.25">
      <c r="B4" s="8"/>
      <c r="C4" s="8"/>
      <c r="D4" s="8"/>
      <c r="E4" s="8"/>
      <c r="F4" s="8"/>
      <c r="G4" s="8"/>
      <c r="H4" s="8"/>
    </row>
    <row r="5" spans="2:9" ht="16.5" x14ac:dyDescent="0.3">
      <c r="B5" s="2" t="s">
        <v>30</v>
      </c>
      <c r="C5" s="2" t="s">
        <v>31</v>
      </c>
      <c r="D5" s="2" t="s">
        <v>144</v>
      </c>
      <c r="E5" s="2" t="s">
        <v>145</v>
      </c>
      <c r="F5" s="8"/>
      <c r="G5" s="8"/>
      <c r="H5" s="8"/>
    </row>
    <row r="6" spans="2:9" x14ac:dyDescent="0.25">
      <c r="B6" s="87" t="e">
        <f>0.95*B3*(C3/F3/E3)^0.5</f>
        <v>#DIV/0!</v>
      </c>
      <c r="C6" s="87" t="e">
        <f>B6</f>
        <v>#DIV/0!</v>
      </c>
      <c r="D6" s="7" t="e">
        <f>1.5*C6</f>
        <v>#DIV/0!</v>
      </c>
      <c r="E6" s="10" t="e">
        <f>C6+D6</f>
        <v>#DIV/0!</v>
      </c>
      <c r="F6" s="8"/>
      <c r="G6" s="90" t="s">
        <v>137</v>
      </c>
      <c r="H6" s="8"/>
    </row>
    <row r="7" spans="2:9" x14ac:dyDescent="0.25">
      <c r="B7" s="8"/>
      <c r="C7" s="8"/>
      <c r="D7" s="8"/>
      <c r="E7" s="8"/>
      <c r="F7" s="8"/>
      <c r="G7" s="8"/>
      <c r="H7" s="8"/>
    </row>
    <row r="8" spans="2:9" x14ac:dyDescent="0.25">
      <c r="B8" s="91" t="s">
        <v>9</v>
      </c>
      <c r="C8" s="92"/>
      <c r="D8" s="92"/>
      <c r="E8" s="92"/>
      <c r="F8" s="8"/>
      <c r="G8" s="8"/>
      <c r="H8" s="8"/>
    </row>
    <row r="9" spans="2:9" x14ac:dyDescent="0.25">
      <c r="B9" s="8"/>
      <c r="C9" s="8"/>
      <c r="D9" s="8"/>
      <c r="E9" s="8"/>
      <c r="F9" s="8"/>
      <c r="G9" s="8"/>
      <c r="H9" s="8"/>
    </row>
    <row r="10" spans="2:9" ht="18.75" x14ac:dyDescent="0.3">
      <c r="B10" s="14" t="s">
        <v>5</v>
      </c>
      <c r="C10" s="14" t="s">
        <v>44</v>
      </c>
      <c r="D10" s="14" t="s">
        <v>47</v>
      </c>
      <c r="E10" s="14" t="s">
        <v>45</v>
      </c>
      <c r="F10" s="14" t="s">
        <v>48</v>
      </c>
      <c r="G10" s="14" t="s">
        <v>32</v>
      </c>
      <c r="H10" s="8"/>
    </row>
    <row r="11" spans="2:9" x14ac:dyDescent="0.25">
      <c r="B11" s="48">
        <v>1</v>
      </c>
      <c r="C11" s="49">
        <f>largeur_eff_semelle!O10</f>
        <v>0</v>
      </c>
      <c r="D11" s="49">
        <f>C11*$B$3</f>
        <v>0</v>
      </c>
      <c r="E11" s="49">
        <v>0</v>
      </c>
      <c r="F11" s="49">
        <f>D11*E11</f>
        <v>0</v>
      </c>
      <c r="G11" s="52"/>
      <c r="H11" s="53"/>
    </row>
    <row r="12" spans="2:9" x14ac:dyDescent="0.25">
      <c r="B12" s="48">
        <v>2</v>
      </c>
      <c r="C12" s="49">
        <f>données!C7</f>
        <v>0</v>
      </c>
      <c r="D12" s="49">
        <f>C12*$B$3</f>
        <v>0</v>
      </c>
      <c r="E12" s="48">
        <f>données!D7/2</f>
        <v>0</v>
      </c>
      <c r="F12" s="49">
        <f>D12*E12</f>
        <v>0</v>
      </c>
      <c r="G12" s="52"/>
      <c r="H12" s="53"/>
    </row>
    <row r="13" spans="2:9" x14ac:dyDescent="0.25">
      <c r="B13" s="48">
        <v>3</v>
      </c>
      <c r="C13" s="49">
        <f>données!C8</f>
        <v>0</v>
      </c>
      <c r="D13" s="49">
        <f>C13*$B$3</f>
        <v>0</v>
      </c>
      <c r="E13" s="48">
        <f>données!D8/2</f>
        <v>0</v>
      </c>
      <c r="F13" s="49">
        <f>D13*E13</f>
        <v>0</v>
      </c>
      <c r="G13" s="52"/>
      <c r="H13" s="53"/>
    </row>
    <row r="14" spans="2:9" x14ac:dyDescent="0.25">
      <c r="B14" s="48">
        <v>4</v>
      </c>
      <c r="C14" s="49" t="e">
        <f>largeur_eff_semelle!O5</f>
        <v>#DIV/0!</v>
      </c>
      <c r="D14" s="49" t="e">
        <f>C14*$B$3</f>
        <v>#DIV/0!</v>
      </c>
      <c r="E14" s="49">
        <v>0</v>
      </c>
      <c r="F14" s="49" t="e">
        <f>D14*E14</f>
        <v>#DIV/0!</v>
      </c>
      <c r="G14" s="53"/>
      <c r="H14" s="53"/>
    </row>
    <row r="15" spans="2:9" x14ac:dyDescent="0.25">
      <c r="B15" s="48">
        <v>5</v>
      </c>
      <c r="C15" s="49" t="e">
        <f>largeur_eff_semelle!O5</f>
        <v>#DIV/0!</v>
      </c>
      <c r="D15" s="49" t="e">
        <f t="shared" ref="D15:D20" si="0">C15*$B$3</f>
        <v>#DIV/0!</v>
      </c>
      <c r="E15" s="49">
        <f>F8/2</f>
        <v>0</v>
      </c>
      <c r="F15" s="49" t="e">
        <f t="shared" ref="F15:F20" si="1">D15*E15</f>
        <v>#DIV/0!</v>
      </c>
      <c r="G15" s="53"/>
      <c r="H15" s="53"/>
    </row>
    <row r="16" spans="2:9" x14ac:dyDescent="0.25">
      <c r="B16" s="48">
        <v>6</v>
      </c>
      <c r="C16" s="49">
        <f>données!C10</f>
        <v>0</v>
      </c>
      <c r="D16" s="49">
        <f t="shared" si="0"/>
        <v>0</v>
      </c>
      <c r="E16" s="54">
        <f>données!D10/2</f>
        <v>0</v>
      </c>
      <c r="F16" s="49">
        <f t="shared" si="1"/>
        <v>0</v>
      </c>
      <c r="G16" s="53"/>
      <c r="H16" s="53"/>
    </row>
    <row r="17" spans="2:8" x14ac:dyDescent="0.25">
      <c r="B17" s="48">
        <v>7</v>
      </c>
      <c r="C17" s="49">
        <f>données!C11</f>
        <v>0</v>
      </c>
      <c r="D17" s="49">
        <f t="shared" si="0"/>
        <v>0</v>
      </c>
      <c r="E17" s="49">
        <f>données!D10+données!D11/2</f>
        <v>0</v>
      </c>
      <c r="F17" s="49">
        <f t="shared" si="1"/>
        <v>0</v>
      </c>
      <c r="G17" s="53"/>
      <c r="H17" s="53"/>
    </row>
    <row r="18" spans="2:8" x14ac:dyDescent="0.25">
      <c r="B18" s="48">
        <v>8</v>
      </c>
      <c r="C18" s="55">
        <f>données!C12</f>
        <v>0</v>
      </c>
      <c r="D18" s="49">
        <f>C18*$B$3</f>
        <v>0</v>
      </c>
      <c r="E18" s="49">
        <f>données!D10+données!D11+données!D12/2</f>
        <v>0</v>
      </c>
      <c r="F18" s="49">
        <f t="shared" si="1"/>
        <v>0</v>
      </c>
      <c r="G18" s="53"/>
      <c r="H18" s="53"/>
    </row>
    <row r="19" spans="2:8" x14ac:dyDescent="0.25">
      <c r="B19" s="48">
        <v>9</v>
      </c>
      <c r="C19" s="55">
        <f>données!C13</f>
        <v>0</v>
      </c>
      <c r="D19" s="49">
        <f t="shared" si="0"/>
        <v>0</v>
      </c>
      <c r="E19" s="49">
        <f>données!D15</f>
        <v>0</v>
      </c>
      <c r="F19" s="49">
        <f t="shared" si="1"/>
        <v>0</v>
      </c>
      <c r="G19" s="53"/>
      <c r="H19" s="53"/>
    </row>
    <row r="20" spans="2:8" x14ac:dyDescent="0.25">
      <c r="B20" s="48">
        <v>10</v>
      </c>
      <c r="C20" s="55">
        <f>données!C14</f>
        <v>0</v>
      </c>
      <c r="D20" s="49">
        <f t="shared" si="0"/>
        <v>0</v>
      </c>
      <c r="E20" s="49">
        <f>données!D15-données!D14/2</f>
        <v>0</v>
      </c>
      <c r="F20" s="49">
        <f t="shared" si="1"/>
        <v>0</v>
      </c>
      <c r="G20" s="53"/>
      <c r="H20" s="53"/>
    </row>
    <row r="21" spans="2:8" x14ac:dyDescent="0.25">
      <c r="B21" s="48" t="s">
        <v>6</v>
      </c>
      <c r="C21" s="53"/>
      <c r="D21" s="56" t="e">
        <f>SUM(D11:D20)</f>
        <v>#DIV/0!</v>
      </c>
      <c r="E21" s="53"/>
      <c r="F21" s="56" t="e">
        <f>SUM(F11:F20)</f>
        <v>#DIV/0!</v>
      </c>
      <c r="G21" s="56" t="e">
        <f>F21/D21</f>
        <v>#DIV/0!</v>
      </c>
      <c r="H21" s="53"/>
    </row>
    <row r="22" spans="2:8" x14ac:dyDescent="0.25">
      <c r="B22" s="53"/>
      <c r="C22" s="53"/>
      <c r="D22" s="53"/>
      <c r="E22" s="53"/>
      <c r="F22" s="53"/>
      <c r="G22" s="53"/>
      <c r="H22" s="53"/>
    </row>
    <row r="23" spans="2:8" ht="16.5" x14ac:dyDescent="0.3">
      <c r="B23" s="57" t="s">
        <v>84</v>
      </c>
      <c r="C23" s="57" t="s">
        <v>85</v>
      </c>
      <c r="D23" s="53"/>
      <c r="E23" s="53"/>
      <c r="F23" s="53"/>
      <c r="G23" s="53"/>
      <c r="H23" s="58" t="s">
        <v>86</v>
      </c>
    </row>
    <row r="24" spans="2:8" x14ac:dyDescent="0.25">
      <c r="B24" s="56">
        <f>données!D10</f>
        <v>0</v>
      </c>
      <c r="C24" s="56" t="e">
        <f>(1+0.5*B24/G21)*B6</f>
        <v>#DIV/0!</v>
      </c>
      <c r="D24" s="53"/>
      <c r="E24" s="53"/>
      <c r="F24" s="53"/>
      <c r="G24" s="53"/>
      <c r="H24" s="56" t="e">
        <f>D27/(C27+D27)*E27</f>
        <v>#DIV/0!</v>
      </c>
    </row>
    <row r="25" spans="2:8" x14ac:dyDescent="0.25">
      <c r="B25" s="53"/>
      <c r="C25" s="53"/>
      <c r="D25" s="53"/>
      <c r="E25" s="53"/>
      <c r="F25" s="53"/>
      <c r="G25" s="53"/>
      <c r="H25" s="59"/>
    </row>
    <row r="26" spans="2:8" ht="16.5" x14ac:dyDescent="0.3">
      <c r="B26" s="57" t="s">
        <v>87</v>
      </c>
      <c r="C26" s="57" t="s">
        <v>88</v>
      </c>
      <c r="D26" s="57" t="s">
        <v>86</v>
      </c>
      <c r="E26" s="57" t="s">
        <v>89</v>
      </c>
      <c r="F26" s="57" t="s">
        <v>90</v>
      </c>
      <c r="G26" s="58" t="s">
        <v>88</v>
      </c>
      <c r="H26" s="59"/>
    </row>
    <row r="27" spans="2:8" x14ac:dyDescent="0.25">
      <c r="B27" s="56">
        <f>données!F9</f>
        <v>0</v>
      </c>
      <c r="C27" s="56" t="e">
        <f>(1+0.5*(B24+B27)/G21)*B6</f>
        <v>#DIV/0!</v>
      </c>
      <c r="D27" s="56" t="e">
        <f>1.5*B6</f>
        <v>#DIV/0!</v>
      </c>
      <c r="E27" s="56" t="e">
        <f>(G21-(données!D15-données!D12))/SIN(données!D3)</f>
        <v>#DIV/0!</v>
      </c>
      <c r="F27" s="56" t="e">
        <f>C27+D27</f>
        <v>#DIV/0!</v>
      </c>
      <c r="G27" s="56" t="e">
        <f>C27/(C27+D27)*E27</f>
        <v>#DIV/0!</v>
      </c>
      <c r="H27" s="59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workbookViewId="0">
      <selection activeCell="D11" sqref="D11"/>
    </sheetView>
  </sheetViews>
  <sheetFormatPr baseColWidth="10" defaultRowHeight="15" x14ac:dyDescent="0.25"/>
  <cols>
    <col min="2" max="2" width="11.42578125" bestFit="1" customWidth="1"/>
  </cols>
  <sheetData>
    <row r="2" spans="1:15" ht="16.5" x14ac:dyDescent="0.3">
      <c r="B2" s="2" t="s">
        <v>0</v>
      </c>
      <c r="C2" s="2" t="s">
        <v>2</v>
      </c>
      <c r="D2" s="2" t="s">
        <v>21</v>
      </c>
      <c r="E2" s="8"/>
      <c r="F2" s="8"/>
      <c r="G2" s="8"/>
      <c r="H2" s="8"/>
      <c r="I2" s="8"/>
      <c r="J2" s="8"/>
      <c r="K2" s="8"/>
    </row>
    <row r="3" spans="1:15" x14ac:dyDescent="0.25">
      <c r="B3" s="2">
        <f>données!E3</f>
        <v>0</v>
      </c>
      <c r="C3" s="7">
        <f>données!H3</f>
        <v>0</v>
      </c>
      <c r="D3" s="6">
        <f>données!G3</f>
        <v>0</v>
      </c>
      <c r="E3" s="8"/>
      <c r="F3" s="8"/>
      <c r="G3" s="8"/>
      <c r="H3" s="8"/>
      <c r="I3" s="8"/>
      <c r="J3" s="8"/>
      <c r="K3" s="8"/>
    </row>
    <row r="4" spans="1:15" x14ac:dyDescent="0.25">
      <c r="B4" s="8"/>
      <c r="C4" s="8"/>
      <c r="D4" s="8"/>
      <c r="E4" s="8"/>
      <c r="F4" s="8"/>
      <c r="G4" s="8"/>
      <c r="H4" s="8"/>
      <c r="I4" s="8"/>
      <c r="J4" s="8"/>
      <c r="K4" s="8"/>
    </row>
    <row r="5" spans="1:15" ht="16.5" x14ac:dyDescent="0.3">
      <c r="B5" s="93" t="s">
        <v>92</v>
      </c>
      <c r="C5" s="93" t="s">
        <v>91</v>
      </c>
      <c r="D5" s="93" t="s">
        <v>85</v>
      </c>
      <c r="E5" s="93" t="s">
        <v>88</v>
      </c>
      <c r="F5" s="93" t="s">
        <v>91</v>
      </c>
      <c r="G5" s="8" t="s">
        <v>133</v>
      </c>
      <c r="H5" s="8"/>
      <c r="I5" s="8"/>
      <c r="J5" s="8"/>
      <c r="K5" s="8"/>
    </row>
    <row r="6" spans="1:15" x14ac:dyDescent="0.25">
      <c r="B6" s="94" t="e">
        <f>0.76*B3*(C3/D3)^0.5</f>
        <v>#DIV/0!</v>
      </c>
      <c r="C6" s="94" t="e">
        <f>B6</f>
        <v>#DIV/0!</v>
      </c>
      <c r="D6" s="94" t="e">
        <f>largeur_eff_ame!C24</f>
        <v>#DIV/0!</v>
      </c>
      <c r="E6" s="93" t="e">
        <f>largeur_eff_ame!G27</f>
        <v>#DIV/0!</v>
      </c>
      <c r="F6" s="93"/>
      <c r="G6" s="8"/>
      <c r="H6" s="8"/>
      <c r="I6" s="8"/>
      <c r="J6" s="8"/>
      <c r="K6" s="8"/>
    </row>
    <row r="7" spans="1:15" x14ac:dyDescent="0.25">
      <c r="B7" s="8"/>
      <c r="C7" s="8"/>
      <c r="D7" s="8"/>
      <c r="E7" s="8"/>
      <c r="F7" s="8"/>
      <c r="G7" s="8"/>
      <c r="H7" s="8"/>
      <c r="I7" s="8"/>
      <c r="J7" s="8"/>
      <c r="K7" s="8"/>
    </row>
    <row r="8" spans="1:15" x14ac:dyDescent="0.25">
      <c r="B8" s="21" t="s">
        <v>9</v>
      </c>
      <c r="C8" s="8"/>
      <c r="D8" s="8"/>
      <c r="E8" s="8"/>
      <c r="F8" s="8"/>
      <c r="G8" s="8"/>
      <c r="H8" s="8"/>
      <c r="I8" s="8"/>
      <c r="J8" s="8"/>
      <c r="K8" s="8"/>
    </row>
    <row r="9" spans="1:15" x14ac:dyDescent="0.25">
      <c r="B9" s="8"/>
      <c r="C9" s="8"/>
      <c r="D9" s="8"/>
      <c r="E9" s="8"/>
      <c r="F9" s="8"/>
      <c r="G9" s="8"/>
      <c r="H9" s="8"/>
      <c r="I9" s="8"/>
      <c r="J9" s="8"/>
      <c r="K9" s="8"/>
    </row>
    <row r="10" spans="1:15" ht="18.75" x14ac:dyDescent="0.3">
      <c r="B10" s="14" t="s">
        <v>5</v>
      </c>
      <c r="C10" s="14" t="s">
        <v>44</v>
      </c>
      <c r="D10" s="14" t="s">
        <v>51</v>
      </c>
      <c r="E10" s="14" t="s">
        <v>47</v>
      </c>
      <c r="F10" s="14" t="s">
        <v>45</v>
      </c>
      <c r="G10" s="14" t="s">
        <v>48</v>
      </c>
      <c r="H10" s="14" t="s">
        <v>46</v>
      </c>
      <c r="I10" s="23" t="s">
        <v>8</v>
      </c>
      <c r="J10" s="14" t="s">
        <v>49</v>
      </c>
      <c r="K10" s="24" t="s">
        <v>13</v>
      </c>
      <c r="M10" s="14" t="s">
        <v>5</v>
      </c>
      <c r="N10" s="23" t="s">
        <v>8</v>
      </c>
      <c r="O10" s="14" t="s">
        <v>49</v>
      </c>
    </row>
    <row r="11" spans="1:15" x14ac:dyDescent="0.25">
      <c r="A11" s="5"/>
      <c r="B11" s="14">
        <v>1</v>
      </c>
      <c r="C11" s="15">
        <f>données!C30</f>
        <v>0</v>
      </c>
      <c r="D11" s="89" t="e">
        <f>'raidisseur (bis)'!B$32*$B$3</f>
        <v>#DIV/0!</v>
      </c>
      <c r="E11" s="136" t="e">
        <f>C11*D11*'raidisseur (bis)'!E$32</f>
        <v>#DIV/0!</v>
      </c>
      <c r="F11" s="15">
        <f>données!J30</f>
        <v>0</v>
      </c>
      <c r="G11" s="15" t="e">
        <f>E11*F11</f>
        <v>#DIV/0!</v>
      </c>
      <c r="H11" s="7" t="e">
        <f t="shared" ref="H11:H20" si="0">$H$31-F11</f>
        <v>#DIV/0!</v>
      </c>
      <c r="I11" s="30">
        <f>données!M30</f>
        <v>0</v>
      </c>
      <c r="J11" s="7" t="e">
        <f>E11*I11^2/12+E11*H11^2</f>
        <v>#DIV/0!</v>
      </c>
      <c r="K11" s="29"/>
      <c r="M11" s="14">
        <v>1</v>
      </c>
      <c r="N11" s="3">
        <f>I11</f>
        <v>0</v>
      </c>
      <c r="O11" s="3" t="e">
        <f>J11</f>
        <v>#DIV/0!</v>
      </c>
    </row>
    <row r="12" spans="1:15" x14ac:dyDescent="0.25">
      <c r="A12" s="5"/>
      <c r="B12" s="14">
        <v>2</v>
      </c>
      <c r="C12" s="15">
        <f>données!C31</f>
        <v>0</v>
      </c>
      <c r="D12" s="89" t="e">
        <f>'raidisseur (bis)'!B$32*$B$3</f>
        <v>#DIV/0!</v>
      </c>
      <c r="E12" s="136" t="e">
        <f>C12*D12*'raidisseur (bis)'!E$32</f>
        <v>#DIV/0!</v>
      </c>
      <c r="F12" s="15">
        <f>données!J31</f>
        <v>0</v>
      </c>
      <c r="G12" s="15" t="e">
        <f t="shared" ref="G12:G28" si="1">E12*F12</f>
        <v>#DIV/0!</v>
      </c>
      <c r="H12" s="7" t="e">
        <f t="shared" si="0"/>
        <v>#DIV/0!</v>
      </c>
      <c r="I12" s="30">
        <f>données!M31</f>
        <v>0</v>
      </c>
      <c r="J12" s="7" t="e">
        <f>E12*I12^2/12+E12*H12^2</f>
        <v>#DIV/0!</v>
      </c>
      <c r="K12" s="8"/>
      <c r="M12" s="14">
        <v>2</v>
      </c>
      <c r="N12" s="3">
        <f t="shared" ref="N12:N27" si="2">I12</f>
        <v>0</v>
      </c>
      <c r="O12" s="3" t="e">
        <f t="shared" ref="O12:O32" si="3">J12</f>
        <v>#DIV/0!</v>
      </c>
    </row>
    <row r="13" spans="1:15" x14ac:dyDescent="0.25">
      <c r="A13" s="5"/>
      <c r="B13" s="14">
        <v>31</v>
      </c>
      <c r="C13" s="15" t="e">
        <f>'largeur_eff_semelle bis'!O5</f>
        <v>#DIV/0!</v>
      </c>
      <c r="D13" s="89" t="e">
        <f>'raidisseur (bis)'!B$32*$B$3</f>
        <v>#DIV/0!</v>
      </c>
      <c r="E13" s="136" t="e">
        <f>C13*D13*'raidisseur (bis)'!E$32</f>
        <v>#DIV/0!</v>
      </c>
      <c r="F13" s="15">
        <f>données!J$32</f>
        <v>0</v>
      </c>
      <c r="G13" s="15" t="e">
        <f t="shared" si="1"/>
        <v>#DIV/0!</v>
      </c>
      <c r="H13" s="7" t="e">
        <f t="shared" si="0"/>
        <v>#DIV/0!</v>
      </c>
      <c r="I13" s="30">
        <f>données!M$32</f>
        <v>0</v>
      </c>
      <c r="J13" s="7" t="e">
        <f t="shared" ref="J13:J28" si="4">E13*I13^2/12+E13*H13^2</f>
        <v>#DIV/0!</v>
      </c>
      <c r="K13" s="8"/>
      <c r="M13" s="14">
        <v>3</v>
      </c>
      <c r="N13" s="3">
        <f t="shared" si="2"/>
        <v>0</v>
      </c>
      <c r="O13" s="3" t="e">
        <f t="shared" si="3"/>
        <v>#DIV/0!</v>
      </c>
    </row>
    <row r="14" spans="1:15" x14ac:dyDescent="0.25">
      <c r="A14" s="5"/>
      <c r="B14" s="14">
        <v>32</v>
      </c>
      <c r="C14" s="15" t="e">
        <f>'largeur_eff_semelle bis'!O10-données!C19</f>
        <v>#DIV/0!</v>
      </c>
      <c r="D14" s="142">
        <f>$B$3</f>
        <v>0</v>
      </c>
      <c r="E14" s="22" t="e">
        <f>C14*D14</f>
        <v>#DIV/0!</v>
      </c>
      <c r="F14" s="15">
        <f>données!J$32</f>
        <v>0</v>
      </c>
      <c r="G14" s="15" t="e">
        <f t="shared" si="1"/>
        <v>#DIV/0!</v>
      </c>
      <c r="H14" s="7" t="e">
        <f t="shared" si="0"/>
        <v>#DIV/0!</v>
      </c>
      <c r="I14" s="30">
        <f>données!M$32</f>
        <v>0</v>
      </c>
      <c r="J14" s="7" t="e">
        <f>E14*I14^2/12+E14*H14^2</f>
        <v>#DIV/0!</v>
      </c>
      <c r="K14" s="8"/>
      <c r="M14" s="14"/>
      <c r="N14" s="3"/>
      <c r="O14" s="3"/>
    </row>
    <row r="15" spans="1:15" x14ac:dyDescent="0.25">
      <c r="A15" s="5"/>
      <c r="B15" s="14">
        <v>4</v>
      </c>
      <c r="C15" s="15" t="e">
        <f>données!C33</f>
        <v>#DIV/0!</v>
      </c>
      <c r="D15" s="142">
        <f>$B$3</f>
        <v>0</v>
      </c>
      <c r="E15" s="22" t="e">
        <f>C15*D15</f>
        <v>#DIV/0!</v>
      </c>
      <c r="F15" s="15" t="e">
        <f>données!J33</f>
        <v>#DIV/0!</v>
      </c>
      <c r="G15" s="15" t="e">
        <f t="shared" si="1"/>
        <v>#DIV/0!</v>
      </c>
      <c r="H15" s="7" t="e">
        <f t="shared" si="0"/>
        <v>#DIV/0!</v>
      </c>
      <c r="I15" s="30"/>
      <c r="J15" s="6" t="e">
        <f>B$3*données!I$3^3*((données!B$3+SIN(données!B$3)*COS(données!B$3))/2-SIN(données!B$3)^2/données!B$3)+E15*H15^2</f>
        <v>#DIV/0!</v>
      </c>
      <c r="K15" s="8"/>
      <c r="M15" s="14">
        <v>4</v>
      </c>
      <c r="N15" s="3">
        <f t="shared" si="2"/>
        <v>0</v>
      </c>
      <c r="O15" s="3" t="e">
        <f t="shared" si="3"/>
        <v>#DIV/0!</v>
      </c>
    </row>
    <row r="16" spans="1:15" x14ac:dyDescent="0.25">
      <c r="A16" s="5"/>
      <c r="B16" s="14">
        <v>5</v>
      </c>
      <c r="C16" s="15" t="e">
        <f>données!C34</f>
        <v>#DIV/0!</v>
      </c>
      <c r="D16" s="142">
        <f t="shared" ref="D16:D18" si="5">$B$3</f>
        <v>0</v>
      </c>
      <c r="E16" s="22" t="e">
        <f t="shared" ref="E16:E18" si="6">C16*D16</f>
        <v>#DIV/0!</v>
      </c>
      <c r="F16" s="15">
        <f>données!J34</f>
        <v>0</v>
      </c>
      <c r="G16" s="15" t="e">
        <f t="shared" si="1"/>
        <v>#DIV/0!</v>
      </c>
      <c r="H16" s="7" t="e">
        <f t="shared" si="0"/>
        <v>#DIV/0!</v>
      </c>
      <c r="I16" s="30" t="e">
        <f>données!M34</f>
        <v>#DIV/0!</v>
      </c>
      <c r="J16" s="7" t="e">
        <f t="shared" si="4"/>
        <v>#DIV/0!</v>
      </c>
      <c r="K16" s="8"/>
      <c r="M16" s="14">
        <v>5</v>
      </c>
      <c r="N16" s="3" t="e">
        <f t="shared" si="2"/>
        <v>#DIV/0!</v>
      </c>
      <c r="O16" s="3" t="e">
        <f t="shared" si="3"/>
        <v>#DIV/0!</v>
      </c>
    </row>
    <row r="17" spans="1:15" x14ac:dyDescent="0.25">
      <c r="A17" s="5"/>
      <c r="B17" s="14">
        <v>6</v>
      </c>
      <c r="C17" s="15" t="e">
        <f>données!C35</f>
        <v>#DIV/0!</v>
      </c>
      <c r="D17" s="142">
        <f t="shared" si="5"/>
        <v>0</v>
      </c>
      <c r="E17" s="22" t="e">
        <f t="shared" si="6"/>
        <v>#DIV/0!</v>
      </c>
      <c r="F17" s="15" t="e">
        <f>données!J35</f>
        <v>#DIV/0!</v>
      </c>
      <c r="G17" s="15" t="e">
        <f t="shared" si="1"/>
        <v>#DIV/0!</v>
      </c>
      <c r="H17" s="7" t="e">
        <f t="shared" si="0"/>
        <v>#DIV/0!</v>
      </c>
      <c r="I17" s="30"/>
      <c r="J17" s="6" t="e">
        <f>B$3*données!I$3^3*((données!B$3+SIN(données!B$3)*COS(données!B$3))/2-SIN(données!B$3)^2/données!B$3)+E17*H17^2</f>
        <v>#DIV/0!</v>
      </c>
      <c r="K17" s="8"/>
      <c r="M17" s="14">
        <v>6</v>
      </c>
      <c r="N17" s="3">
        <f t="shared" si="2"/>
        <v>0</v>
      </c>
      <c r="O17" s="3" t="e">
        <f t="shared" si="3"/>
        <v>#DIV/0!</v>
      </c>
    </row>
    <row r="18" spans="1:15" x14ac:dyDescent="0.25">
      <c r="A18" s="5"/>
      <c r="B18" s="14">
        <v>7</v>
      </c>
      <c r="C18" s="15" t="e">
        <f>données!C36</f>
        <v>#DIV/0!</v>
      </c>
      <c r="D18" s="142">
        <f t="shared" si="5"/>
        <v>0</v>
      </c>
      <c r="E18" s="22" t="e">
        <f t="shared" si="6"/>
        <v>#DIV/0!</v>
      </c>
      <c r="F18" s="15">
        <f>données!J36</f>
        <v>0</v>
      </c>
      <c r="G18" s="15" t="e">
        <f t="shared" si="1"/>
        <v>#DIV/0!</v>
      </c>
      <c r="H18" s="7" t="e">
        <f t="shared" si="0"/>
        <v>#DIV/0!</v>
      </c>
      <c r="I18" s="30">
        <f>données!M36</f>
        <v>0</v>
      </c>
      <c r="J18" s="7" t="e">
        <f t="shared" si="4"/>
        <v>#DIV/0!</v>
      </c>
      <c r="K18" s="8"/>
      <c r="M18" s="14">
        <v>7</v>
      </c>
      <c r="N18" s="3">
        <f t="shared" si="2"/>
        <v>0</v>
      </c>
      <c r="O18" s="3" t="e">
        <f t="shared" si="3"/>
        <v>#DIV/0!</v>
      </c>
    </row>
    <row r="19" spans="1:15" x14ac:dyDescent="0.25">
      <c r="A19" s="5"/>
      <c r="B19" s="14">
        <v>8</v>
      </c>
      <c r="C19" s="22" t="e">
        <f>données!C37</f>
        <v>#DIV/0!</v>
      </c>
      <c r="D19" s="25">
        <f>$B$3</f>
        <v>0</v>
      </c>
      <c r="E19" s="15" t="e">
        <f t="shared" ref="E19:E28" si="7">C19*D19</f>
        <v>#DIV/0!</v>
      </c>
      <c r="F19" s="15" t="e">
        <f>données!J37</f>
        <v>#DIV/0!</v>
      </c>
      <c r="G19" s="15" t="e">
        <f t="shared" si="1"/>
        <v>#DIV/0!</v>
      </c>
      <c r="H19" s="7" t="e">
        <f t="shared" si="0"/>
        <v>#DIV/0!</v>
      </c>
      <c r="I19" s="30"/>
      <c r="J19" s="6" t="e">
        <f>B$3*données!I$3^3*((données!D$3+SIN(données!D$3)*COS(données!D$3))/2-SIN(données!D$3)^2/données!D$3)+E19*H19^2</f>
        <v>#DIV/0!</v>
      </c>
      <c r="K19" s="8"/>
      <c r="M19" s="14">
        <v>8</v>
      </c>
      <c r="N19" s="3">
        <f t="shared" si="2"/>
        <v>0</v>
      </c>
      <c r="O19" s="3" t="e">
        <f t="shared" si="3"/>
        <v>#DIV/0!</v>
      </c>
    </row>
    <row r="20" spans="1:15" x14ac:dyDescent="0.25">
      <c r="A20" s="5"/>
      <c r="B20" s="14">
        <v>9</v>
      </c>
      <c r="C20" s="22" t="e">
        <f>données!C38</f>
        <v>#DIV/0!</v>
      </c>
      <c r="D20" s="142">
        <f>$B$3</f>
        <v>0</v>
      </c>
      <c r="E20" s="15" t="e">
        <f t="shared" si="7"/>
        <v>#DIV/0!</v>
      </c>
      <c r="F20" s="15">
        <f>données!J38</f>
        <v>0</v>
      </c>
      <c r="G20" s="15" t="e">
        <f t="shared" si="1"/>
        <v>#DIV/0!</v>
      </c>
      <c r="H20" s="7" t="e">
        <f t="shared" si="0"/>
        <v>#DIV/0!</v>
      </c>
      <c r="I20" s="30" t="e">
        <f>données!M38</f>
        <v>#DIV/0!</v>
      </c>
      <c r="J20" s="7" t="e">
        <f t="shared" si="4"/>
        <v>#DIV/0!</v>
      </c>
      <c r="K20" s="8"/>
      <c r="M20" s="14">
        <v>9</v>
      </c>
      <c r="N20" s="3" t="e">
        <f t="shared" si="2"/>
        <v>#DIV/0!</v>
      </c>
      <c r="O20" s="3" t="e">
        <f t="shared" si="3"/>
        <v>#DIV/0!</v>
      </c>
    </row>
    <row r="21" spans="1:15" x14ac:dyDescent="0.25">
      <c r="A21" s="5"/>
      <c r="B21" s="14" t="s">
        <v>151</v>
      </c>
      <c r="C21" s="22">
        <f>-data!L14</f>
        <v>0</v>
      </c>
      <c r="D21" s="129">
        <f>B3</f>
        <v>0</v>
      </c>
      <c r="E21" s="15">
        <f t="shared" ref="E21:E22" si="8">C21*D21</f>
        <v>0</v>
      </c>
      <c r="F21" s="15">
        <f>data!N14</f>
        <v>0</v>
      </c>
      <c r="G21" s="15">
        <f t="shared" ref="G21:G22" si="9">E21*F21</f>
        <v>0</v>
      </c>
      <c r="H21" s="7" t="e">
        <f t="shared" ref="H21:H22" si="10">$H$31-F21</f>
        <v>#DIV/0!</v>
      </c>
      <c r="I21" s="138" t="e">
        <f>-C21*SIN(données!$B$3)</f>
        <v>#DIV/0!</v>
      </c>
      <c r="J21" s="7" t="e">
        <f>E21*I21^2/12+E21*H21^2</f>
        <v>#DIV/0!</v>
      </c>
      <c r="K21" s="8"/>
      <c r="M21" s="14"/>
      <c r="N21" s="3"/>
      <c r="O21" s="3"/>
    </row>
    <row r="22" spans="1:15" x14ac:dyDescent="0.25">
      <c r="A22" s="5"/>
      <c r="B22" s="14" t="s">
        <v>151</v>
      </c>
      <c r="C22" s="22">
        <f>data!L14</f>
        <v>0</v>
      </c>
      <c r="D22" s="129" t="e">
        <f>B$3*data!K$14</f>
        <v>#VALUE!</v>
      </c>
      <c r="E22" s="15" t="e">
        <f t="shared" si="8"/>
        <v>#VALUE!</v>
      </c>
      <c r="F22" s="15">
        <f>data!N14</f>
        <v>0</v>
      </c>
      <c r="G22" s="15" t="e">
        <f t="shared" si="9"/>
        <v>#VALUE!</v>
      </c>
      <c r="H22" s="7" t="e">
        <f t="shared" si="10"/>
        <v>#DIV/0!</v>
      </c>
      <c r="I22" s="138" t="e">
        <f>C22*SIN(données!$B$3)</f>
        <v>#DIV/0!</v>
      </c>
      <c r="J22" s="7" t="e">
        <f>E22*I22^2/12+E22*H22^2</f>
        <v>#VALUE!</v>
      </c>
      <c r="K22" s="8"/>
      <c r="M22" s="14"/>
      <c r="N22" s="3"/>
      <c r="O22" s="3"/>
    </row>
    <row r="23" spans="1:15" x14ac:dyDescent="0.25">
      <c r="A23" s="5"/>
      <c r="B23" s="14" t="s">
        <v>151</v>
      </c>
      <c r="C23" s="22">
        <f>-data!M14</f>
        <v>0</v>
      </c>
      <c r="D23" s="129">
        <f>B3</f>
        <v>0</v>
      </c>
      <c r="E23" s="15">
        <f t="shared" ref="E23:E24" si="11">C23*D23</f>
        <v>0</v>
      </c>
      <c r="F23" s="15">
        <f>data!O14</f>
        <v>0</v>
      </c>
      <c r="G23" s="15">
        <f t="shared" ref="G23:G24" si="12">E23*F23</f>
        <v>0</v>
      </c>
      <c r="H23" s="7" t="e">
        <f t="shared" ref="H23:H24" si="13">$H$31-F23</f>
        <v>#DIV/0!</v>
      </c>
      <c r="I23" s="138" t="e">
        <f>-C23*SIN(données!$B$3)</f>
        <v>#DIV/0!</v>
      </c>
      <c r="J23" s="7" t="e">
        <f>E23*I23^2/12+E23*H23^2</f>
        <v>#DIV/0!</v>
      </c>
      <c r="K23" s="8"/>
      <c r="M23" s="14"/>
      <c r="N23" s="3"/>
      <c r="O23" s="3"/>
    </row>
    <row r="24" spans="1:15" x14ac:dyDescent="0.25">
      <c r="A24" s="5"/>
      <c r="B24" s="14" t="s">
        <v>151</v>
      </c>
      <c r="C24" s="22">
        <f>data!M14</f>
        <v>0</v>
      </c>
      <c r="D24" s="129" t="e">
        <f>B3*data!K$14</f>
        <v>#VALUE!</v>
      </c>
      <c r="E24" s="15" t="e">
        <f t="shared" si="11"/>
        <v>#VALUE!</v>
      </c>
      <c r="F24" s="15">
        <f>data!O14</f>
        <v>0</v>
      </c>
      <c r="G24" s="15" t="e">
        <f t="shared" si="12"/>
        <v>#VALUE!</v>
      </c>
      <c r="H24" s="7" t="e">
        <f t="shared" si="13"/>
        <v>#DIV/0!</v>
      </c>
      <c r="I24" s="138" t="e">
        <f>C24*SIN(données!$B$3)</f>
        <v>#DIV/0!</v>
      </c>
      <c r="J24" s="7" t="e">
        <f>E24*I24^2/12+E24*H24^2</f>
        <v>#VALUE!</v>
      </c>
      <c r="K24" s="8"/>
      <c r="M24" s="14"/>
      <c r="N24" s="3"/>
      <c r="O24" s="3"/>
    </row>
    <row r="25" spans="1:15" x14ac:dyDescent="0.25">
      <c r="A25" s="5"/>
      <c r="B25" s="14">
        <v>10</v>
      </c>
      <c r="C25" s="22" t="e">
        <f>données!C39</f>
        <v>#DIV/0!</v>
      </c>
      <c r="D25" s="25">
        <f t="shared" ref="D25:D28" si="14">$B$3</f>
        <v>0</v>
      </c>
      <c r="E25" s="15" t="e">
        <f t="shared" si="7"/>
        <v>#DIV/0!</v>
      </c>
      <c r="F25" s="15" t="e">
        <f>données!J39</f>
        <v>#DIV/0!</v>
      </c>
      <c r="G25" s="15" t="e">
        <f t="shared" si="1"/>
        <v>#DIV/0!</v>
      </c>
      <c r="H25" s="7" t="e">
        <f>$H$31-F25</f>
        <v>#DIV/0!</v>
      </c>
      <c r="I25" s="30"/>
      <c r="J25" s="6" t="e">
        <f>B$3*données!I$3^3*((données!L$17+SIN(données!L$17)*COS(données!L$17))/2-SIN(données!L$17)^2/données!L$17)+E25*H25^2</f>
        <v>#DIV/0!</v>
      </c>
      <c r="K25" s="8"/>
      <c r="M25" s="14">
        <v>10</v>
      </c>
      <c r="N25" s="3">
        <f t="shared" si="2"/>
        <v>0</v>
      </c>
      <c r="O25" s="3" t="e">
        <f t="shared" si="3"/>
        <v>#DIV/0!</v>
      </c>
    </row>
    <row r="26" spans="1:15" x14ac:dyDescent="0.25">
      <c r="A26" s="5"/>
      <c r="B26" s="14">
        <v>11</v>
      </c>
      <c r="C26" s="22" t="e">
        <f>données!C40</f>
        <v>#DIV/0!</v>
      </c>
      <c r="D26" s="25">
        <f t="shared" si="14"/>
        <v>0</v>
      </c>
      <c r="E26" s="15" t="e">
        <f t="shared" si="7"/>
        <v>#DIV/0!</v>
      </c>
      <c r="F26" s="15">
        <f>données!J40</f>
        <v>0</v>
      </c>
      <c r="G26" s="15" t="e">
        <f t="shared" si="1"/>
        <v>#DIV/0!</v>
      </c>
      <c r="H26" s="7" t="e">
        <f>$H$31-F26</f>
        <v>#DIV/0!</v>
      </c>
      <c r="I26" s="30" t="e">
        <f>données!M40</f>
        <v>#DIV/0!</v>
      </c>
      <c r="J26" s="7" t="e">
        <f t="shared" si="4"/>
        <v>#DIV/0!</v>
      </c>
      <c r="K26" s="8"/>
      <c r="M26" s="14">
        <v>11</v>
      </c>
      <c r="N26" s="3" t="e">
        <f t="shared" si="2"/>
        <v>#DIV/0!</v>
      </c>
      <c r="O26" s="3" t="e">
        <f t="shared" si="3"/>
        <v>#DIV/0!</v>
      </c>
    </row>
    <row r="27" spans="1:15" x14ac:dyDescent="0.25">
      <c r="A27" s="5"/>
      <c r="B27" s="14">
        <v>12</v>
      </c>
      <c r="C27" s="22" t="e">
        <f>données!C41</f>
        <v>#DIV/0!</v>
      </c>
      <c r="D27" s="25">
        <f t="shared" si="14"/>
        <v>0</v>
      </c>
      <c r="E27" s="15" t="e">
        <f t="shared" si="7"/>
        <v>#DIV/0!</v>
      </c>
      <c r="F27" s="15" t="e">
        <f>données!J41</f>
        <v>#DIV/0!</v>
      </c>
      <c r="G27" s="15" t="e">
        <f t="shared" si="1"/>
        <v>#DIV/0!</v>
      </c>
      <c r="H27" s="7" t="e">
        <f>$H$31-F27</f>
        <v>#DIV/0!</v>
      </c>
      <c r="I27" s="30"/>
      <c r="J27" s="6" t="e">
        <f>B$3*données!I$3^3*((données!D$3+SIN(données!D$3)*COS(données!D$3))/2-SIN(données!D$3)^2/données!D$3)+E27*H27^2</f>
        <v>#DIV/0!</v>
      </c>
      <c r="K27" s="8"/>
      <c r="M27" s="14">
        <v>12</v>
      </c>
      <c r="N27" s="3">
        <f t="shared" si="2"/>
        <v>0</v>
      </c>
      <c r="O27" s="3" t="e">
        <f t="shared" si="3"/>
        <v>#DIV/0!</v>
      </c>
    </row>
    <row r="28" spans="1:15" x14ac:dyDescent="0.25">
      <c r="A28" s="5"/>
      <c r="B28" s="14">
        <v>13</v>
      </c>
      <c r="C28" s="22" t="e">
        <f>données!C42</f>
        <v>#DIV/0!</v>
      </c>
      <c r="D28" s="25">
        <f t="shared" si="14"/>
        <v>0</v>
      </c>
      <c r="E28" s="15" t="e">
        <f t="shared" si="7"/>
        <v>#DIV/0!</v>
      </c>
      <c r="F28" s="15">
        <f>données!J42</f>
        <v>0</v>
      </c>
      <c r="G28" s="15" t="e">
        <f t="shared" si="1"/>
        <v>#DIV/0!</v>
      </c>
      <c r="H28" s="7" t="e">
        <f>$H$31-F28</f>
        <v>#DIV/0!</v>
      </c>
      <c r="I28" s="30">
        <f>données!M42</f>
        <v>0</v>
      </c>
      <c r="J28" s="7" t="e">
        <f t="shared" si="4"/>
        <v>#DIV/0!</v>
      </c>
      <c r="K28" s="8"/>
      <c r="M28" s="14"/>
      <c r="N28" s="3"/>
      <c r="O28" s="3"/>
    </row>
    <row r="29" spans="1:15" x14ac:dyDescent="0.25">
      <c r="B29" s="14"/>
      <c r="C29" s="22"/>
      <c r="D29" s="25"/>
      <c r="E29" s="15"/>
      <c r="F29" s="15"/>
      <c r="G29" s="15"/>
      <c r="H29" s="7"/>
      <c r="I29" s="30"/>
      <c r="J29" s="6"/>
      <c r="K29" s="8"/>
      <c r="M29" s="14"/>
      <c r="N29" s="3"/>
      <c r="O29" s="3"/>
    </row>
    <row r="30" spans="1:15" x14ac:dyDescent="0.25">
      <c r="B30" s="14"/>
      <c r="C30" s="22"/>
      <c r="D30" s="25"/>
      <c r="E30" s="15"/>
      <c r="F30" s="15"/>
      <c r="G30" s="15"/>
      <c r="H30" s="7"/>
      <c r="I30" s="30"/>
      <c r="J30" s="7"/>
      <c r="K30" s="8"/>
      <c r="M30" s="14"/>
      <c r="N30" s="3"/>
      <c r="O30" s="3"/>
    </row>
    <row r="31" spans="1:15" x14ac:dyDescent="0.25">
      <c r="B31" s="14" t="s">
        <v>6</v>
      </c>
      <c r="C31" s="8"/>
      <c r="D31" s="8"/>
      <c r="E31" s="26" t="e">
        <f>SUM(E11:E30)</f>
        <v>#DIV/0!</v>
      </c>
      <c r="F31" s="8"/>
      <c r="G31" s="26" t="e">
        <f>SUM(G11:G30)</f>
        <v>#DIV/0!</v>
      </c>
      <c r="H31" s="26" t="e">
        <f>G31/E31</f>
        <v>#DIV/0!</v>
      </c>
      <c r="I31" s="8"/>
      <c r="J31" s="13" t="e">
        <f>SUM(J11:J30)</f>
        <v>#DIV/0!</v>
      </c>
      <c r="K31" s="8" t="s">
        <v>93</v>
      </c>
      <c r="M31" s="14" t="s">
        <v>6</v>
      </c>
      <c r="N31" s="1"/>
      <c r="O31" s="3" t="e">
        <f t="shared" si="3"/>
        <v>#DIV/0!</v>
      </c>
    </row>
    <row r="32" spans="1:15" x14ac:dyDescent="0.25">
      <c r="B32" s="8"/>
      <c r="C32" s="8"/>
      <c r="D32" s="8"/>
      <c r="E32" s="8"/>
      <c r="F32" s="8"/>
      <c r="G32" s="8"/>
      <c r="H32" s="10" t="e">
        <f>données!N3-résistance_section!H31</f>
        <v>#DIV/0!</v>
      </c>
      <c r="I32" s="8"/>
      <c r="J32" s="8" t="e">
        <f>J31*2</f>
        <v>#DIV/0!</v>
      </c>
      <c r="K32" s="8" t="s">
        <v>95</v>
      </c>
      <c r="O32" s="34" t="e">
        <f t="shared" si="3"/>
        <v>#DIV/0!</v>
      </c>
    </row>
    <row r="33" spans="2:11" x14ac:dyDescent="0.25">
      <c r="B33" s="8" t="s">
        <v>55</v>
      </c>
      <c r="C33" s="8" t="e">
        <f>J31/MAX(H31,H32)</f>
        <v>#DIV/0!</v>
      </c>
      <c r="D33" s="8" t="s">
        <v>93</v>
      </c>
      <c r="E33" s="8"/>
      <c r="F33" s="8"/>
      <c r="G33" s="8"/>
      <c r="H33" s="8"/>
      <c r="I33" s="8"/>
      <c r="J33" s="8" t="e">
        <f>J32/données!M3</f>
        <v>#DIV/0!</v>
      </c>
      <c r="K33" s="8" t="s">
        <v>142</v>
      </c>
    </row>
    <row r="34" spans="2:11" x14ac:dyDescent="0.25">
      <c r="B34" s="8" t="s">
        <v>55</v>
      </c>
      <c r="C34" s="8" t="e">
        <f>2*C33</f>
        <v>#DIV/0!</v>
      </c>
      <c r="D34" s="8" t="s">
        <v>95</v>
      </c>
      <c r="E34" s="8"/>
      <c r="F34" s="8"/>
      <c r="G34" s="8"/>
      <c r="H34" s="8"/>
      <c r="I34" s="8"/>
      <c r="J34" s="8"/>
      <c r="K34" s="8"/>
    </row>
    <row r="35" spans="2:11" x14ac:dyDescent="0.25">
      <c r="B35" s="8" t="s">
        <v>55</v>
      </c>
      <c r="C35" s="8" t="e">
        <f>C34/données!M3</f>
        <v>#DIV/0!</v>
      </c>
      <c r="D35" s="8" t="s">
        <v>96</v>
      </c>
      <c r="E35" s="8"/>
      <c r="F35" s="8"/>
      <c r="G35" s="8"/>
      <c r="H35" s="8"/>
      <c r="I35" s="8"/>
      <c r="J35" s="8"/>
      <c r="K35" s="8"/>
    </row>
    <row r="36" spans="2:11" x14ac:dyDescent="0.25"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2:11" x14ac:dyDescent="0.25">
      <c r="B37" s="8" t="s">
        <v>14</v>
      </c>
      <c r="C37" s="8" t="s">
        <v>14</v>
      </c>
      <c r="D37" s="8"/>
      <c r="E37" s="8"/>
      <c r="F37" s="8"/>
      <c r="G37" s="8"/>
      <c r="H37" s="8"/>
      <c r="I37" s="8"/>
      <c r="J37" s="8"/>
      <c r="K37" s="8"/>
    </row>
    <row r="38" spans="2:11" x14ac:dyDescent="0.25">
      <c r="B38" s="126" t="e">
        <f>D3*C35*1</f>
        <v>#DIV/0!</v>
      </c>
      <c r="C38" s="126" t="s">
        <v>97</v>
      </c>
      <c r="D38" s="127"/>
      <c r="E38" s="127" t="e">
        <f>B38*0.9</f>
        <v>#DIV/0!</v>
      </c>
      <c r="F38" s="128">
        <v>4682.2356314310409</v>
      </c>
      <c r="G38" s="8"/>
      <c r="H38" s="8"/>
      <c r="I38" s="8"/>
      <c r="J38" s="8"/>
      <c r="K38" s="8"/>
    </row>
    <row r="39" spans="2:11" x14ac:dyDescent="0.25">
      <c r="B39" s="61" t="e">
        <f>B38/1000</f>
        <v>#DIV/0!</v>
      </c>
      <c r="C39" t="s">
        <v>98</v>
      </c>
    </row>
    <row r="40" spans="2:11" x14ac:dyDescent="0.25">
      <c r="B40" s="32"/>
    </row>
    <row r="41" spans="2:11" x14ac:dyDescent="0.25">
      <c r="B41" s="32"/>
    </row>
    <row r="42" spans="2:11" x14ac:dyDescent="0.25">
      <c r="B42" s="32"/>
    </row>
    <row r="43" spans="2:11" x14ac:dyDescent="0.25">
      <c r="B43" s="2" t="s">
        <v>16</v>
      </c>
      <c r="C43" s="2" t="s">
        <v>34</v>
      </c>
      <c r="D43" s="2" t="s">
        <v>7</v>
      </c>
    </row>
    <row r="44" spans="2:11" x14ac:dyDescent="0.25">
      <c r="B44" s="2">
        <v>1</v>
      </c>
      <c r="C44" s="2">
        <v>0</v>
      </c>
      <c r="D44" s="2">
        <f>D46</f>
        <v>112</v>
      </c>
    </row>
    <row r="45" spans="2:11" x14ac:dyDescent="0.25">
      <c r="B45" s="2">
        <v>2</v>
      </c>
      <c r="C45" s="7">
        <f>C46-largeur_eff_semelle!O10</f>
        <v>15</v>
      </c>
      <c r="D45" s="2">
        <f>D46</f>
        <v>112</v>
      </c>
    </row>
    <row r="46" spans="2:11" x14ac:dyDescent="0.25">
      <c r="B46" s="2">
        <v>3</v>
      </c>
      <c r="C46" s="2">
        <f>C44+30/2</f>
        <v>15</v>
      </c>
      <c r="D46" s="2">
        <f>D48</f>
        <v>112</v>
      </c>
    </row>
    <row r="47" spans="2:11" x14ac:dyDescent="0.25">
      <c r="B47" s="2">
        <v>4</v>
      </c>
      <c r="C47" s="2">
        <f>C46+7</f>
        <v>22</v>
      </c>
      <c r="D47" s="2">
        <f>D48-7</f>
        <v>105</v>
      </c>
    </row>
    <row r="48" spans="2:11" x14ac:dyDescent="0.25">
      <c r="B48" s="2">
        <v>5</v>
      </c>
      <c r="C48" s="2">
        <f>C47+7</f>
        <v>29</v>
      </c>
      <c r="D48" s="2">
        <f>D49</f>
        <v>112</v>
      </c>
    </row>
    <row r="49" spans="2:4" x14ac:dyDescent="0.25">
      <c r="B49" s="2">
        <v>6</v>
      </c>
      <c r="C49" s="7" t="e">
        <f>C48+largeur_eff_semelle!O5</f>
        <v>#DIV/0!</v>
      </c>
      <c r="D49" s="2">
        <f>D54+30</f>
        <v>112</v>
      </c>
    </row>
    <row r="50" spans="2:4" x14ac:dyDescent="0.25">
      <c r="B50" s="2">
        <v>7</v>
      </c>
      <c r="C50" s="7" t="e">
        <f>C48+données!E9-largeur_eff_semelle!O5</f>
        <v>#DIV/0!</v>
      </c>
      <c r="D50" s="2">
        <f>D54+30</f>
        <v>112</v>
      </c>
    </row>
    <row r="51" spans="2:4" x14ac:dyDescent="0.25">
      <c r="B51" s="2">
        <v>8</v>
      </c>
      <c r="C51" s="7">
        <f>C48+données!E9</f>
        <v>29</v>
      </c>
      <c r="D51" s="2">
        <f>D54+30</f>
        <v>112</v>
      </c>
    </row>
    <row r="52" spans="2:4" x14ac:dyDescent="0.25">
      <c r="B52" s="2">
        <v>9</v>
      </c>
      <c r="C52" s="7" t="e">
        <f>C51+COS(données!D3)*largeur_eff_ame!C6</f>
        <v>#DIV/0!</v>
      </c>
      <c r="D52" s="7" t="e">
        <f>D51+SIN(résistance_section!D3)*largeur_eff_ame!C6</f>
        <v>#DIV/0!</v>
      </c>
    </row>
    <row r="53" spans="2:4" x14ac:dyDescent="0.25">
      <c r="B53" s="2">
        <v>10</v>
      </c>
      <c r="C53" s="7" t="e">
        <f>C54-COS(données!D3)*largeur_eff_ame!C24</f>
        <v>#DIV/0!</v>
      </c>
      <c r="D53" s="7" t="e">
        <f>D54+SIN(données!D3)*largeur_eff_ame!C24</f>
        <v>#DIV/0!</v>
      </c>
    </row>
    <row r="54" spans="2:4" x14ac:dyDescent="0.25">
      <c r="B54" s="2">
        <v>11</v>
      </c>
      <c r="C54" s="7">
        <f>C51+4</f>
        <v>33</v>
      </c>
      <c r="D54" s="7">
        <f>D55+7</f>
        <v>82</v>
      </c>
    </row>
    <row r="55" spans="2:4" x14ac:dyDescent="0.25">
      <c r="B55" s="2">
        <v>12</v>
      </c>
      <c r="C55" s="7">
        <f>C54+10</f>
        <v>43</v>
      </c>
      <c r="D55" s="7">
        <v>75</v>
      </c>
    </row>
    <row r="56" spans="2:4" x14ac:dyDescent="0.25">
      <c r="B56" s="2">
        <v>13</v>
      </c>
      <c r="C56" s="7" t="e">
        <f>C55+COS(données!D3)*largeur_eff_ame!G27</f>
        <v>#DIV/0!</v>
      </c>
      <c r="D56" s="7" t="e">
        <f>D55-SIN(données!D3)*largeur_eff_ame!G27</f>
        <v>#DIV/0!</v>
      </c>
    </row>
    <row r="57" spans="2:4" x14ac:dyDescent="0.25">
      <c r="B57" s="2">
        <v>14</v>
      </c>
      <c r="C57" s="7" t="e">
        <f>C55+COS(données!D3)*(largeur_eff_ame!E27-largeur_eff_ame!H24)</f>
        <v>#DIV/0!</v>
      </c>
      <c r="D57" s="7" t="e">
        <f>D55-SIN(données!D3)*(largeur_eff_ame!E27-largeur_eff_ame!H24)</f>
        <v>#DIV/0!</v>
      </c>
    </row>
    <row r="58" spans="2:4" x14ac:dyDescent="0.25">
      <c r="B58" s="2">
        <v>15</v>
      </c>
      <c r="C58" s="7" t="e">
        <f>C55+COS(données!D3)*largeur_eff_ame!E27</f>
        <v>#DIV/0!</v>
      </c>
      <c r="D58" s="7" t="e">
        <f>D55-SIN(données!D3)*largeur_eff_ame!E27</f>
        <v>#DIV/0!</v>
      </c>
    </row>
    <row r="59" spans="2:4" x14ac:dyDescent="0.25">
      <c r="B59" s="2">
        <v>14</v>
      </c>
      <c r="C59" s="2">
        <f>C55+10</f>
        <v>53</v>
      </c>
      <c r="D59" s="2">
        <v>0</v>
      </c>
    </row>
    <row r="60" spans="2:4" x14ac:dyDescent="0.25">
      <c r="B60" s="2">
        <v>15</v>
      </c>
      <c r="C60" s="2">
        <f>C59+36</f>
        <v>89</v>
      </c>
      <c r="D60" s="2">
        <v>0</v>
      </c>
    </row>
    <row r="61" spans="2:4" x14ac:dyDescent="0.25">
      <c r="B61" s="2">
        <v>16</v>
      </c>
      <c r="C61" s="2">
        <f>C60+8</f>
        <v>97</v>
      </c>
      <c r="D61" s="2">
        <v>7</v>
      </c>
    </row>
  </sheetData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"/>
  <sheetViews>
    <sheetView workbookViewId="0">
      <selection activeCell="O5" sqref="O5"/>
    </sheetView>
  </sheetViews>
  <sheetFormatPr baseColWidth="10" defaultRowHeight="15" x14ac:dyDescent="0.25"/>
  <cols>
    <col min="2" max="2" width="5.42578125" bestFit="1" customWidth="1"/>
    <col min="3" max="3" width="4.42578125" bestFit="1" customWidth="1"/>
    <col min="4" max="4" width="11.28515625" bestFit="1" customWidth="1"/>
    <col min="5" max="5" width="10.28515625" bestFit="1" customWidth="1"/>
    <col min="6" max="6" width="4.42578125" bestFit="1" customWidth="1"/>
    <col min="7" max="7" width="6.85546875" customWidth="1"/>
    <col min="8" max="8" width="4.42578125" customWidth="1"/>
    <col min="9" max="9" width="5.42578125" bestFit="1" customWidth="1"/>
    <col min="10" max="10" width="7.140625" customWidth="1"/>
    <col min="11" max="11" width="5.42578125" customWidth="1"/>
    <col min="12" max="12" width="7.7109375" customWidth="1"/>
    <col min="13" max="13" width="5.42578125" bestFit="1" customWidth="1"/>
    <col min="14" max="14" width="7.85546875" bestFit="1" customWidth="1"/>
    <col min="15" max="15" width="8.42578125" bestFit="1" customWidth="1"/>
  </cols>
  <sheetData>
    <row r="2" spans="2:15" x14ac:dyDescent="0.25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2:15" x14ac:dyDescent="0.2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2:15" ht="16.5" x14ac:dyDescent="0.3">
      <c r="B4" s="2" t="s">
        <v>22</v>
      </c>
      <c r="C4" s="2" t="s">
        <v>0</v>
      </c>
      <c r="D4" s="2" t="s">
        <v>21</v>
      </c>
      <c r="E4" s="2" t="s">
        <v>2</v>
      </c>
      <c r="F4" s="2" t="s">
        <v>1</v>
      </c>
      <c r="G4" s="47" t="s">
        <v>79</v>
      </c>
      <c r="H4" s="44" t="s">
        <v>75</v>
      </c>
      <c r="I4" s="2" t="s">
        <v>23</v>
      </c>
      <c r="J4" s="45" t="s">
        <v>77</v>
      </c>
      <c r="K4" s="46" t="s">
        <v>78</v>
      </c>
      <c r="L4" s="2" t="s">
        <v>76</v>
      </c>
      <c r="M4" s="2" t="s">
        <v>3</v>
      </c>
      <c r="N4" s="11" t="s">
        <v>24</v>
      </c>
      <c r="O4" s="11" t="s">
        <v>4</v>
      </c>
    </row>
    <row r="5" spans="2:15" x14ac:dyDescent="0.25">
      <c r="B5" s="7" t="e">
        <f>largeur_eff_semelle!B5</f>
        <v>#DIV/0!</v>
      </c>
      <c r="C5" s="7">
        <f>données!E3</f>
        <v>0</v>
      </c>
      <c r="D5" s="42">
        <f>données!G3</f>
        <v>0</v>
      </c>
      <c r="E5" s="7">
        <f>données!H3</f>
        <v>0</v>
      </c>
      <c r="F5" s="7">
        <v>4</v>
      </c>
      <c r="G5" s="7">
        <v>1</v>
      </c>
      <c r="H5" s="7" t="e">
        <f>(235/D5)^0.5</f>
        <v>#DIV/0!</v>
      </c>
      <c r="I5" s="12" t="e">
        <f>B5/C5/28.4/H5/(F5)^0.5</f>
        <v>#DIV/0!</v>
      </c>
      <c r="J5" s="96" t="e">
        <f>MIN(D5,D5*(données!$J$30-résistance_section!$H$31)/résistance_section!$H$31)</f>
        <v>#DIV/0!</v>
      </c>
      <c r="K5" s="12">
        <v>1</v>
      </c>
      <c r="L5" s="12" t="e">
        <f>I5*SQRT(J5/D5/K5)</f>
        <v>#DIV/0!</v>
      </c>
      <c r="M5" s="12" t="e">
        <f>IF(L5&gt;0.673,(L5-0.055*(3+G5))/L5^2+0.18*(I5-L5)/(I5-0.6),1)</f>
        <v>#DIV/0!</v>
      </c>
      <c r="N5" s="7" t="e">
        <f>M5*B5</f>
        <v>#DIV/0!</v>
      </c>
      <c r="O5" s="86" t="e">
        <f>N5/2</f>
        <v>#DIV/0!</v>
      </c>
    </row>
    <row r="6" spans="2:15" x14ac:dyDescent="0.25">
      <c r="B6" s="8"/>
      <c r="C6" s="8"/>
      <c r="D6" s="43"/>
      <c r="E6" s="8"/>
      <c r="F6" s="8"/>
      <c r="G6" s="8"/>
      <c r="H6" s="8"/>
      <c r="I6" s="8"/>
      <c r="J6" s="33"/>
      <c r="K6" s="8"/>
      <c r="L6" s="8"/>
      <c r="M6" s="8"/>
      <c r="N6" s="8"/>
      <c r="O6" s="8"/>
    </row>
    <row r="7" spans="2:15" x14ac:dyDescent="0.25">
      <c r="B7" s="8"/>
      <c r="C7" s="8"/>
      <c r="D7" s="43"/>
      <c r="E7" s="8"/>
      <c r="F7" s="8"/>
      <c r="G7" s="8"/>
      <c r="H7" s="8"/>
      <c r="I7" s="8"/>
      <c r="J7" s="33"/>
      <c r="K7" s="8"/>
      <c r="L7" s="8"/>
      <c r="M7" s="8"/>
      <c r="N7" s="8"/>
      <c r="O7" s="8"/>
    </row>
    <row r="8" spans="2:15" x14ac:dyDescent="0.25">
      <c r="B8" s="8"/>
      <c r="C8" s="8"/>
      <c r="D8" s="43"/>
      <c r="E8" s="8"/>
      <c r="F8" s="8"/>
      <c r="G8" s="8"/>
      <c r="H8" s="8"/>
      <c r="I8" s="8"/>
      <c r="J8" s="33"/>
      <c r="K8" s="8"/>
      <c r="L8" s="8"/>
      <c r="M8" s="8"/>
      <c r="N8" s="8"/>
      <c r="O8" s="8"/>
    </row>
    <row r="9" spans="2:15" x14ac:dyDescent="0.25">
      <c r="B9" s="2"/>
      <c r="C9" s="2"/>
      <c r="D9" s="11"/>
      <c r="E9" s="2"/>
      <c r="F9" s="2"/>
      <c r="G9" s="47"/>
      <c r="H9" s="44"/>
      <c r="I9" s="2"/>
      <c r="J9" s="45"/>
      <c r="K9" s="46"/>
      <c r="L9" s="2"/>
      <c r="M9" s="2"/>
      <c r="N9" s="11"/>
      <c r="O9" s="11"/>
    </row>
    <row r="10" spans="2:15" x14ac:dyDescent="0.25">
      <c r="B10" s="13"/>
      <c r="C10" s="7"/>
      <c r="D10" s="42"/>
      <c r="E10" s="7"/>
      <c r="F10" s="7"/>
      <c r="G10" s="7"/>
      <c r="H10" s="7"/>
      <c r="I10" s="12"/>
      <c r="J10" s="96"/>
      <c r="K10" s="12"/>
      <c r="L10" s="12"/>
      <c r="M10" s="12"/>
      <c r="N10" s="7"/>
      <c r="O10" s="86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23</vt:i4>
      </vt:variant>
      <vt:variant>
        <vt:lpstr>Plages nommées</vt:lpstr>
      </vt:variant>
      <vt:variant>
        <vt:i4>1</vt:i4>
      </vt:variant>
    </vt:vector>
  </HeadingPairs>
  <TitlesOfParts>
    <vt:vector size="24" baseType="lpstr">
      <vt:lpstr>data</vt:lpstr>
      <vt:lpstr>données</vt:lpstr>
      <vt:lpstr>largeur_eff_semelle</vt:lpstr>
      <vt:lpstr>raidisseur</vt:lpstr>
      <vt:lpstr>largeur_eff_semelle bis</vt:lpstr>
      <vt:lpstr>raidisseur (bis)</vt:lpstr>
      <vt:lpstr>largeur_eff_ame</vt:lpstr>
      <vt:lpstr>résistance_section</vt:lpstr>
      <vt:lpstr>largeur_eff_semelle (2)</vt:lpstr>
      <vt:lpstr>raidisseur (2)</vt:lpstr>
      <vt:lpstr>largeur_eff_semelle bis (2)</vt:lpstr>
      <vt:lpstr>raidisseur (2bis)</vt:lpstr>
      <vt:lpstr>largeur_eff_ame (2)</vt:lpstr>
      <vt:lpstr>résistance_section (2)</vt:lpstr>
      <vt:lpstr>largeur_eff_semelle (3)</vt:lpstr>
      <vt:lpstr>raidisseur (3)</vt:lpstr>
      <vt:lpstr>largeur_eff_semelle bis (3)</vt:lpstr>
      <vt:lpstr>raidisseur (3bis)</vt:lpstr>
      <vt:lpstr>largeur_eff_ame (3)</vt:lpstr>
      <vt:lpstr>résistance_section (3)</vt:lpstr>
      <vt:lpstr>eff_tranchant</vt:lpstr>
      <vt:lpstr>reaction_appui</vt:lpstr>
      <vt:lpstr>Feuil1</vt:lpstr>
      <vt:lpstr>données!Zone_d_impression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spconsultants</dc:creator>
  <cp:lastModifiedBy>Valérie</cp:lastModifiedBy>
  <cp:lastPrinted>2015-07-06T16:10:57Z</cp:lastPrinted>
  <dcterms:created xsi:type="dcterms:W3CDTF">2009-08-10T11:42:28Z</dcterms:created>
  <dcterms:modified xsi:type="dcterms:W3CDTF">2016-11-30T10:02:30Z</dcterms:modified>
</cp:coreProperties>
</file>