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workbookProtection workbookPassword="DDF1" lockStructure="1" lockWindows="1"/>
  <bookViews>
    <workbookView xWindow="300" yWindow="-15" windowWidth="17970" windowHeight="11850" tabRatio="684"/>
  </bookViews>
  <sheets>
    <sheet name="Feuil1" sheetId="55" r:id="rId1"/>
    <sheet name="données" sheetId="7" state="hidden" r:id="rId2"/>
    <sheet name="largeur_eff_semelle" sheetId="1" state="hidden" r:id="rId3"/>
    <sheet name="raidisseur" sheetId="2" state="hidden" r:id="rId4"/>
    <sheet name="largeur_eff_semelle bis" sheetId="38" state="hidden" r:id="rId5"/>
    <sheet name="largeur_eff_ame" sheetId="3" state="hidden" r:id="rId6"/>
    <sheet name="raidisseur (bis)" sheetId="46" state="hidden" r:id="rId7"/>
    <sheet name="résistance_section" sheetId="6" state="hidden" r:id="rId8"/>
    <sheet name="largeur_eff_semelle (2)" sheetId="26" state="hidden" r:id="rId9"/>
    <sheet name="raidisseur (2)" sheetId="35" state="hidden" r:id="rId10"/>
    <sheet name="largeur_eff_semelle bis (2)" sheetId="39" state="hidden" r:id="rId11"/>
    <sheet name="raidisseurbis (2)" sheetId="47" state="hidden" r:id="rId12"/>
    <sheet name="largeur_eff_ame (2)" sheetId="36" state="hidden" r:id="rId13"/>
    <sheet name="résistance_section (2)" sheetId="40" state="hidden" r:id="rId14"/>
    <sheet name="largeur_eff_semelle (3)" sheetId="41" state="hidden" r:id="rId15"/>
    <sheet name="raidisseur (3)" sheetId="42" state="hidden" r:id="rId16"/>
    <sheet name="largeur_eff_semelle bis (3)" sheetId="43" state="hidden" r:id="rId17"/>
    <sheet name="raidisseur bis (3)" sheetId="48" state="hidden" r:id="rId18"/>
    <sheet name="largeur_eff_ame (3)" sheetId="44" state="hidden" r:id="rId19"/>
    <sheet name="résistance_section (3)" sheetId="45" state="hidden" r:id="rId20"/>
    <sheet name="largeur_eff_semelle (4)" sheetId="49" state="hidden" r:id="rId21"/>
    <sheet name="raidisseur (4)" sheetId="50" state="hidden" r:id="rId22"/>
    <sheet name="largeur_eff_semelle bis (4)" sheetId="51" state="hidden" r:id="rId23"/>
    <sheet name="raidisseur bis (4)" sheetId="52" state="hidden" r:id="rId24"/>
    <sheet name="largeur_eff_ame (4)" sheetId="53" state="hidden" r:id="rId25"/>
    <sheet name="résistance_section (4)" sheetId="54" state="hidden" r:id="rId26"/>
  </sheets>
  <definedNames>
    <definedName name="_xlnm.Print_Area" localSheetId="1">données!$H$29:$N$48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4" i="7" l="1"/>
  <c r="P4" i="7"/>
  <c r="R5" i="7"/>
  <c r="F3" i="7"/>
  <c r="I3" i="7"/>
  <c r="P3" i="7"/>
  <c r="K6" i="55"/>
  <c r="D3" i="7"/>
  <c r="I17" i="7"/>
  <c r="I18" i="7"/>
  <c r="I19" i="7"/>
  <c r="E6" i="7"/>
  <c r="C30" i="7"/>
  <c r="E3" i="7"/>
  <c r="I30" i="7"/>
  <c r="D7" i="7"/>
  <c r="D9" i="7"/>
  <c r="J30" i="7"/>
  <c r="K30" i="7"/>
  <c r="I26" i="7"/>
  <c r="C31" i="7"/>
  <c r="I31" i="7"/>
  <c r="I27" i="7"/>
  <c r="J31" i="7"/>
  <c r="K31" i="7"/>
  <c r="C10" i="55"/>
  <c r="C7" i="7"/>
  <c r="C32" i="7"/>
  <c r="I32" i="7"/>
  <c r="L3" i="7"/>
  <c r="J32" i="7"/>
  <c r="K32" i="7"/>
  <c r="C33" i="7"/>
  <c r="I33" i="7"/>
  <c r="J33" i="7"/>
  <c r="K33" i="7"/>
  <c r="C11" i="55"/>
  <c r="C8" i="7"/>
  <c r="J3" i="7"/>
  <c r="L6" i="55"/>
  <c r="B3" i="7"/>
  <c r="C17" i="7"/>
  <c r="C20" i="7"/>
  <c r="C21" i="7"/>
  <c r="C34" i="7"/>
  <c r="I34" i="7"/>
  <c r="J34" i="7"/>
  <c r="K34" i="7"/>
  <c r="C18" i="7"/>
  <c r="C19" i="7"/>
  <c r="C12" i="55"/>
  <c r="C9" i="7"/>
  <c r="C36" i="7"/>
  <c r="I36" i="7"/>
  <c r="M36" i="7"/>
  <c r="J36" i="7"/>
  <c r="K36" i="7"/>
  <c r="C26" i="7"/>
  <c r="C37" i="7"/>
  <c r="I37" i="7"/>
  <c r="C27" i="7"/>
  <c r="J37" i="7"/>
  <c r="K37" i="7"/>
  <c r="C13" i="55"/>
  <c r="C10" i="7"/>
  <c r="M6" i="55"/>
  <c r="C3" i="7"/>
  <c r="F17" i="7"/>
  <c r="F18" i="7"/>
  <c r="F19" i="7"/>
  <c r="C38" i="7"/>
  <c r="I38" i="7"/>
  <c r="K38" i="7"/>
  <c r="C23" i="7"/>
  <c r="C35" i="7"/>
  <c r="I35" i="7"/>
  <c r="C24" i="7"/>
  <c r="J35" i="7"/>
  <c r="K35" i="7"/>
  <c r="F26" i="7"/>
  <c r="C39" i="7"/>
  <c r="I39" i="7"/>
  <c r="F27" i="7"/>
  <c r="J39" i="7"/>
  <c r="K39" i="7"/>
  <c r="C14" i="55"/>
  <c r="C11" i="7"/>
  <c r="C40" i="7"/>
  <c r="I40" i="7"/>
  <c r="D11" i="7"/>
  <c r="J40" i="7"/>
  <c r="K40" i="7"/>
  <c r="C41" i="7"/>
  <c r="I41" i="7"/>
  <c r="J41" i="7"/>
  <c r="K41" i="7"/>
  <c r="C15" i="55"/>
  <c r="C12" i="7"/>
  <c r="C42" i="7"/>
  <c r="I42" i="7"/>
  <c r="J42" i="7"/>
  <c r="K42" i="7"/>
  <c r="C43" i="7"/>
  <c r="I43" i="7"/>
  <c r="J43" i="7"/>
  <c r="K43" i="7"/>
  <c r="C16" i="55"/>
  <c r="C13" i="7"/>
  <c r="C44" i="7"/>
  <c r="I44" i="7"/>
  <c r="J44" i="7"/>
  <c r="K44" i="7"/>
  <c r="C45" i="7"/>
  <c r="I45" i="7"/>
  <c r="J45" i="7"/>
  <c r="K45" i="7"/>
  <c r="C17" i="55"/>
  <c r="C14" i="7"/>
  <c r="C46" i="7"/>
  <c r="I46" i="7"/>
  <c r="K46" i="7"/>
  <c r="K48" i="7"/>
  <c r="I48" i="7"/>
  <c r="L48" i="7"/>
  <c r="L41" i="7"/>
  <c r="N41" i="7"/>
  <c r="L43" i="7"/>
  <c r="N43" i="7"/>
  <c r="L45" i="7"/>
  <c r="N45" i="7"/>
  <c r="D3" i="47"/>
  <c r="C6" i="47"/>
  <c r="D6" i="47"/>
  <c r="F6" i="47"/>
  <c r="C7" i="47"/>
  <c r="D7" i="47"/>
  <c r="E7" i="47"/>
  <c r="F7" i="47"/>
  <c r="C8" i="47"/>
  <c r="D8" i="47"/>
  <c r="N3" i="7"/>
  <c r="E8" i="47"/>
  <c r="F8" i="47"/>
  <c r="C9" i="47"/>
  <c r="D9" i="47"/>
  <c r="E9" i="47"/>
  <c r="F9" i="47"/>
  <c r="C10" i="47"/>
  <c r="D10" i="47"/>
  <c r="E10" i="47"/>
  <c r="F10" i="47"/>
  <c r="C11" i="47"/>
  <c r="D11" i="47"/>
  <c r="E11" i="47"/>
  <c r="F11" i="47"/>
  <c r="C12" i="47"/>
  <c r="D12" i="47"/>
  <c r="E12" i="47"/>
  <c r="F12" i="47"/>
  <c r="C13" i="47"/>
  <c r="D13" i="47"/>
  <c r="E13" i="47"/>
  <c r="F13" i="47"/>
  <c r="C14" i="47"/>
  <c r="D14" i="47"/>
  <c r="E14" i="47"/>
  <c r="F14" i="47"/>
  <c r="C15" i="47"/>
  <c r="D15" i="47"/>
  <c r="F15" i="47"/>
  <c r="F16" i="47"/>
  <c r="D16" i="47"/>
  <c r="G16" i="47"/>
  <c r="G6" i="47"/>
  <c r="H6" i="47"/>
  <c r="I6" i="47"/>
  <c r="G7" i="47"/>
  <c r="I7" i="47"/>
  <c r="M32" i="7"/>
  <c r="H8" i="47"/>
  <c r="G8" i="47"/>
  <c r="I8" i="47"/>
  <c r="G9" i="47"/>
  <c r="L17" i="7"/>
  <c r="I9" i="47"/>
  <c r="G10" i="47"/>
  <c r="H10" i="47"/>
  <c r="I10" i="47"/>
  <c r="I11" i="47"/>
  <c r="I12" i="47"/>
  <c r="I13" i="47"/>
  <c r="I14" i="47"/>
  <c r="G15" i="47"/>
  <c r="M34" i="7"/>
  <c r="H15" i="47"/>
  <c r="I15" i="47"/>
  <c r="I16" i="47"/>
  <c r="B5" i="1"/>
  <c r="C3" i="47"/>
  <c r="B3" i="47"/>
  <c r="F33" i="47"/>
  <c r="M3" i="7"/>
  <c r="E33" i="47"/>
  <c r="G33" i="47"/>
  <c r="B33" i="47"/>
  <c r="H33" i="47"/>
  <c r="I33" i="47"/>
  <c r="B5" i="39"/>
  <c r="C5" i="39"/>
  <c r="G3" i="7"/>
  <c r="D5" i="39"/>
  <c r="H5" i="39"/>
  <c r="I5" i="39"/>
  <c r="D3" i="35"/>
  <c r="C6" i="35"/>
  <c r="D6" i="35"/>
  <c r="F6" i="35"/>
  <c r="C7" i="35"/>
  <c r="D7" i="35"/>
  <c r="E7" i="35"/>
  <c r="F7" i="35"/>
  <c r="C8" i="35"/>
  <c r="D8" i="35"/>
  <c r="E8" i="35"/>
  <c r="F8" i="35"/>
  <c r="C9" i="35"/>
  <c r="D9" i="35"/>
  <c r="E9" i="35"/>
  <c r="F9" i="35"/>
  <c r="C10" i="35"/>
  <c r="D10" i="35"/>
  <c r="E10" i="35"/>
  <c r="F10" i="35"/>
  <c r="C11" i="35"/>
  <c r="D11" i="35"/>
  <c r="E11" i="35"/>
  <c r="F11" i="35"/>
  <c r="C12" i="35"/>
  <c r="D12" i="35"/>
  <c r="E12" i="35"/>
  <c r="F12" i="35"/>
  <c r="C13" i="35"/>
  <c r="D13" i="35"/>
  <c r="E13" i="35"/>
  <c r="F13" i="35"/>
  <c r="C14" i="35"/>
  <c r="D14" i="35"/>
  <c r="E14" i="35"/>
  <c r="F14" i="35"/>
  <c r="C15" i="35"/>
  <c r="D15" i="35"/>
  <c r="F15" i="35"/>
  <c r="F16" i="35"/>
  <c r="D16" i="35"/>
  <c r="G16" i="35"/>
  <c r="G6" i="35"/>
  <c r="H6" i="35"/>
  <c r="I6" i="35"/>
  <c r="G7" i="35"/>
  <c r="I7" i="35"/>
  <c r="H8" i="35"/>
  <c r="G8" i="35"/>
  <c r="I8" i="35"/>
  <c r="G9" i="35"/>
  <c r="I9" i="35"/>
  <c r="G10" i="35"/>
  <c r="H10" i="35"/>
  <c r="I10" i="35"/>
  <c r="I11" i="35"/>
  <c r="I12" i="35"/>
  <c r="I13" i="35"/>
  <c r="I14" i="35"/>
  <c r="G15" i="35"/>
  <c r="H15" i="35"/>
  <c r="I15" i="35"/>
  <c r="I16" i="35"/>
  <c r="C3" i="35"/>
  <c r="B3" i="35"/>
  <c r="F33" i="35"/>
  <c r="E33" i="35"/>
  <c r="G33" i="35"/>
  <c r="B33" i="35"/>
  <c r="H33" i="35"/>
  <c r="I33" i="35"/>
  <c r="B5" i="26"/>
  <c r="C5" i="26"/>
  <c r="D5" i="26"/>
  <c r="H5" i="26"/>
  <c r="I5" i="26"/>
  <c r="D3" i="46"/>
  <c r="C6" i="46"/>
  <c r="D6" i="46"/>
  <c r="F6" i="46"/>
  <c r="C7" i="46"/>
  <c r="D7" i="46"/>
  <c r="E7" i="46"/>
  <c r="F7" i="46"/>
  <c r="C8" i="46"/>
  <c r="D8" i="46"/>
  <c r="E8" i="46"/>
  <c r="F8" i="46"/>
  <c r="C9" i="46"/>
  <c r="D9" i="46"/>
  <c r="E9" i="46"/>
  <c r="F9" i="46"/>
  <c r="C10" i="46"/>
  <c r="D10" i="46"/>
  <c r="E10" i="46"/>
  <c r="F10" i="46"/>
  <c r="C11" i="46"/>
  <c r="D11" i="46"/>
  <c r="E11" i="46"/>
  <c r="F11" i="46"/>
  <c r="C12" i="46"/>
  <c r="D12" i="46"/>
  <c r="E12" i="46"/>
  <c r="F12" i="46"/>
  <c r="C13" i="46"/>
  <c r="D13" i="46"/>
  <c r="E13" i="46"/>
  <c r="F13" i="46"/>
  <c r="C14" i="46"/>
  <c r="D14" i="46"/>
  <c r="E14" i="46"/>
  <c r="F14" i="46"/>
  <c r="C15" i="46"/>
  <c r="D15" i="46"/>
  <c r="F15" i="46"/>
  <c r="F16" i="46"/>
  <c r="D16" i="46"/>
  <c r="G16" i="46"/>
  <c r="G6" i="46"/>
  <c r="H6" i="46"/>
  <c r="I6" i="46"/>
  <c r="G7" i="46"/>
  <c r="I7" i="46"/>
  <c r="H8" i="46"/>
  <c r="G8" i="46"/>
  <c r="I8" i="46"/>
  <c r="G9" i="46"/>
  <c r="I9" i="46"/>
  <c r="G10" i="46"/>
  <c r="H10" i="46"/>
  <c r="I10" i="46"/>
  <c r="I11" i="46"/>
  <c r="I12" i="46"/>
  <c r="I13" i="46"/>
  <c r="I14" i="46"/>
  <c r="G15" i="46"/>
  <c r="H15" i="46"/>
  <c r="I15" i="46"/>
  <c r="I16" i="46"/>
  <c r="C3" i="46"/>
  <c r="B3" i="46"/>
  <c r="F33" i="46"/>
  <c r="E33" i="46"/>
  <c r="G33" i="46"/>
  <c r="B33" i="46"/>
  <c r="H33" i="46"/>
  <c r="I33" i="46"/>
  <c r="B5" i="38"/>
  <c r="C5" i="38"/>
  <c r="D5" i="38"/>
  <c r="H5" i="38"/>
  <c r="I5" i="38"/>
  <c r="D3" i="2"/>
  <c r="C6" i="2"/>
  <c r="D6" i="2"/>
  <c r="F6" i="2"/>
  <c r="C7" i="2"/>
  <c r="D7" i="2"/>
  <c r="E7" i="2"/>
  <c r="F7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F15" i="2"/>
  <c r="F16" i="2"/>
  <c r="D16" i="2"/>
  <c r="G16" i="2"/>
  <c r="G6" i="2"/>
  <c r="H6" i="2"/>
  <c r="I6" i="2"/>
  <c r="G7" i="2"/>
  <c r="I7" i="2"/>
  <c r="H8" i="2"/>
  <c r="G8" i="2"/>
  <c r="I8" i="2"/>
  <c r="G9" i="2"/>
  <c r="I9" i="2"/>
  <c r="G10" i="2"/>
  <c r="H10" i="2"/>
  <c r="I10" i="2"/>
  <c r="I11" i="2"/>
  <c r="I12" i="2"/>
  <c r="I13" i="2"/>
  <c r="I14" i="2"/>
  <c r="G15" i="2"/>
  <c r="H15" i="2"/>
  <c r="I15" i="2"/>
  <c r="I16" i="2"/>
  <c r="C3" i="2"/>
  <c r="B3" i="2"/>
  <c r="F33" i="2"/>
  <c r="E33" i="2"/>
  <c r="G33" i="2"/>
  <c r="B33" i="2"/>
  <c r="H33" i="2"/>
  <c r="I33" i="2"/>
  <c r="C5" i="1"/>
  <c r="D5" i="1"/>
  <c r="H5" i="1"/>
  <c r="I5" i="1"/>
  <c r="J5" i="1"/>
  <c r="L5" i="1"/>
  <c r="M5" i="1"/>
  <c r="N5" i="1"/>
  <c r="O5" i="1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D29" i="2"/>
  <c r="H3" i="7"/>
  <c r="E3" i="2"/>
  <c r="B36" i="2"/>
  <c r="B39" i="2"/>
  <c r="C39" i="2"/>
  <c r="D39" i="2"/>
  <c r="E39" i="2"/>
  <c r="B42" i="2"/>
  <c r="J5" i="38"/>
  <c r="L5" i="38"/>
  <c r="M5" i="38"/>
  <c r="N5" i="38"/>
  <c r="O5" i="38"/>
  <c r="C19" i="46"/>
  <c r="D19" i="46"/>
  <c r="C20" i="46"/>
  <c r="D20" i="46"/>
  <c r="C21" i="46"/>
  <c r="D21" i="46"/>
  <c r="C22" i="46"/>
  <c r="D22" i="46"/>
  <c r="C23" i="46"/>
  <c r="D23" i="46"/>
  <c r="C24" i="46"/>
  <c r="D24" i="46"/>
  <c r="C25" i="46"/>
  <c r="D25" i="46"/>
  <c r="C26" i="46"/>
  <c r="D26" i="46"/>
  <c r="C27" i="46"/>
  <c r="D27" i="46"/>
  <c r="C28" i="46"/>
  <c r="D28" i="46"/>
  <c r="D29" i="46"/>
  <c r="E3" i="46"/>
  <c r="B36" i="46"/>
  <c r="B39" i="46"/>
  <c r="C39" i="46"/>
  <c r="D39" i="46"/>
  <c r="E39" i="46"/>
  <c r="B42" i="46"/>
  <c r="B3" i="6"/>
  <c r="D11" i="6"/>
  <c r="E42" i="46"/>
  <c r="C11" i="6"/>
  <c r="E11" i="6"/>
  <c r="F11" i="6"/>
  <c r="G11" i="6"/>
  <c r="C12" i="6"/>
  <c r="D12" i="6"/>
  <c r="E12" i="6"/>
  <c r="F12" i="6"/>
  <c r="G12" i="6"/>
  <c r="C13" i="6"/>
  <c r="D13" i="6"/>
  <c r="E13" i="6"/>
  <c r="F13" i="6"/>
  <c r="G13" i="6"/>
  <c r="C14" i="6"/>
  <c r="D14" i="6"/>
  <c r="E14" i="6"/>
  <c r="F14" i="6"/>
  <c r="G14" i="6"/>
  <c r="C15" i="6"/>
  <c r="D15" i="6"/>
  <c r="E15" i="6"/>
  <c r="F15" i="6"/>
  <c r="G15" i="6"/>
  <c r="C16" i="6"/>
  <c r="D16" i="6"/>
  <c r="E16" i="6"/>
  <c r="F16" i="6"/>
  <c r="G16" i="6"/>
  <c r="B10" i="38"/>
  <c r="C10" i="38"/>
  <c r="D10" i="38"/>
  <c r="H10" i="38"/>
  <c r="I10" i="38"/>
  <c r="J10" i="38"/>
  <c r="L10" i="38"/>
  <c r="M10" i="38"/>
  <c r="N10" i="38"/>
  <c r="O10" i="38"/>
  <c r="C17" i="6"/>
  <c r="D17" i="6"/>
  <c r="E17" i="6"/>
  <c r="F17" i="6"/>
  <c r="G17" i="6"/>
  <c r="C19" i="6"/>
  <c r="D19" i="6"/>
  <c r="E19" i="6"/>
  <c r="F19" i="6"/>
  <c r="G19" i="6"/>
  <c r="C22" i="6"/>
  <c r="D22" i="6"/>
  <c r="E22" i="6"/>
  <c r="F22" i="6"/>
  <c r="G22" i="6"/>
  <c r="C23" i="6"/>
  <c r="D23" i="6"/>
  <c r="E23" i="6"/>
  <c r="F23" i="6"/>
  <c r="G23" i="6"/>
  <c r="D21" i="6"/>
  <c r="Q3" i="7"/>
  <c r="C21" i="6"/>
  <c r="E21" i="6"/>
  <c r="R3" i="7"/>
  <c r="S3" i="7"/>
  <c r="F21" i="6"/>
  <c r="G21" i="6"/>
  <c r="C18" i="6"/>
  <c r="D18" i="6"/>
  <c r="E18" i="6"/>
  <c r="F18" i="6"/>
  <c r="G18" i="6"/>
  <c r="C20" i="6"/>
  <c r="D20" i="6"/>
  <c r="E20" i="6"/>
  <c r="F20" i="6"/>
  <c r="G20" i="6"/>
  <c r="C24" i="6"/>
  <c r="D24" i="6"/>
  <c r="E24" i="6"/>
  <c r="F24" i="6"/>
  <c r="G24" i="6"/>
  <c r="C25" i="6"/>
  <c r="D25" i="6"/>
  <c r="E25" i="6"/>
  <c r="F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F28" i="6"/>
  <c r="G28" i="6"/>
  <c r="C29" i="6"/>
  <c r="D29" i="6"/>
  <c r="E29" i="6"/>
  <c r="F29" i="6"/>
  <c r="G29" i="6"/>
  <c r="C30" i="6"/>
  <c r="D30" i="6"/>
  <c r="E30" i="6"/>
  <c r="F30" i="6"/>
  <c r="G30" i="6"/>
  <c r="C31" i="6"/>
  <c r="D31" i="6"/>
  <c r="E31" i="6"/>
  <c r="F31" i="6"/>
  <c r="G31" i="6"/>
  <c r="G32" i="6"/>
  <c r="E32" i="6"/>
  <c r="H32" i="6"/>
  <c r="J5" i="26"/>
  <c r="L5" i="26"/>
  <c r="M5" i="26"/>
  <c r="N5" i="26"/>
  <c r="O5" i="26"/>
  <c r="C19" i="35"/>
  <c r="D19" i="35"/>
  <c r="C20" i="35"/>
  <c r="D20" i="35"/>
  <c r="C21" i="35"/>
  <c r="D21" i="35"/>
  <c r="C22" i="35"/>
  <c r="D22" i="35"/>
  <c r="C23" i="35"/>
  <c r="D23" i="35"/>
  <c r="C24" i="35"/>
  <c r="D24" i="35"/>
  <c r="C25" i="35"/>
  <c r="D25" i="35"/>
  <c r="C26" i="35"/>
  <c r="D26" i="35"/>
  <c r="C27" i="35"/>
  <c r="D27" i="35"/>
  <c r="C28" i="35"/>
  <c r="D28" i="35"/>
  <c r="D29" i="35"/>
  <c r="E3" i="35"/>
  <c r="B36" i="35"/>
  <c r="B39" i="35"/>
  <c r="C39" i="35"/>
  <c r="D39" i="35"/>
  <c r="E39" i="35"/>
  <c r="B42" i="35"/>
  <c r="J5" i="39"/>
  <c r="L5" i="39"/>
  <c r="M5" i="39"/>
  <c r="N5" i="39"/>
  <c r="O5" i="39"/>
  <c r="C19" i="47"/>
  <c r="D19" i="47"/>
  <c r="C20" i="47"/>
  <c r="D20" i="47"/>
  <c r="C21" i="47"/>
  <c r="D21" i="47"/>
  <c r="C22" i="47"/>
  <c r="D22" i="47"/>
  <c r="C23" i="47"/>
  <c r="D23" i="47"/>
  <c r="C24" i="47"/>
  <c r="D24" i="47"/>
  <c r="C25" i="47"/>
  <c r="D25" i="47"/>
  <c r="C26" i="47"/>
  <c r="D26" i="47"/>
  <c r="C27" i="47"/>
  <c r="D27" i="47"/>
  <c r="C28" i="47"/>
  <c r="D28" i="47"/>
  <c r="D29" i="47"/>
  <c r="E3" i="47"/>
  <c r="B36" i="47"/>
  <c r="B39" i="47"/>
  <c r="C39" i="47"/>
  <c r="D39" i="47"/>
  <c r="E39" i="47"/>
  <c r="B42" i="47"/>
  <c r="B3" i="40"/>
  <c r="D11" i="40"/>
  <c r="E42" i="47"/>
  <c r="C11" i="40"/>
  <c r="E11" i="40"/>
  <c r="F11" i="40"/>
  <c r="G11" i="40"/>
  <c r="C12" i="40"/>
  <c r="D12" i="40"/>
  <c r="E12" i="40"/>
  <c r="F12" i="40"/>
  <c r="G12" i="40"/>
  <c r="C13" i="40"/>
  <c r="D13" i="40"/>
  <c r="E13" i="40"/>
  <c r="F13" i="40"/>
  <c r="G13" i="40"/>
  <c r="C14" i="40"/>
  <c r="D14" i="40"/>
  <c r="E14" i="40"/>
  <c r="F14" i="40"/>
  <c r="G14" i="40"/>
  <c r="C15" i="40"/>
  <c r="D15" i="40"/>
  <c r="E15" i="40"/>
  <c r="F15" i="40"/>
  <c r="G15" i="40"/>
  <c r="C16" i="40"/>
  <c r="D16" i="40"/>
  <c r="E16" i="40"/>
  <c r="F16" i="40"/>
  <c r="G16" i="40"/>
  <c r="B10" i="39"/>
  <c r="C10" i="39"/>
  <c r="D10" i="39"/>
  <c r="H10" i="39"/>
  <c r="I10" i="39"/>
  <c r="J10" i="39"/>
  <c r="L10" i="39"/>
  <c r="M10" i="39"/>
  <c r="N10" i="39"/>
  <c r="O10" i="39"/>
  <c r="C17" i="40"/>
  <c r="D17" i="40"/>
  <c r="E17" i="40"/>
  <c r="F17" i="40"/>
  <c r="G17" i="40"/>
  <c r="C19" i="40"/>
  <c r="D19" i="40"/>
  <c r="E19" i="40"/>
  <c r="F19" i="40"/>
  <c r="G19" i="40"/>
  <c r="C22" i="40"/>
  <c r="D22" i="40"/>
  <c r="E22" i="40"/>
  <c r="F22" i="40"/>
  <c r="G22" i="40"/>
  <c r="C23" i="40"/>
  <c r="D23" i="40"/>
  <c r="E23" i="40"/>
  <c r="F23" i="40"/>
  <c r="G23" i="40"/>
  <c r="D21" i="40"/>
  <c r="C21" i="40"/>
  <c r="E21" i="40"/>
  <c r="F21" i="40"/>
  <c r="G21" i="40"/>
  <c r="C18" i="40"/>
  <c r="D18" i="40"/>
  <c r="E18" i="40"/>
  <c r="F18" i="40"/>
  <c r="G18" i="40"/>
  <c r="C20" i="40"/>
  <c r="D20" i="40"/>
  <c r="E20" i="40"/>
  <c r="F20" i="40"/>
  <c r="G20" i="40"/>
  <c r="C24" i="40"/>
  <c r="D24" i="40"/>
  <c r="E24" i="40"/>
  <c r="F24" i="40"/>
  <c r="G24" i="40"/>
  <c r="C25" i="40"/>
  <c r="D25" i="40"/>
  <c r="E25" i="40"/>
  <c r="F25" i="40"/>
  <c r="G25" i="40"/>
  <c r="C26" i="40"/>
  <c r="D26" i="40"/>
  <c r="E26" i="40"/>
  <c r="F26" i="40"/>
  <c r="G26" i="40"/>
  <c r="C27" i="40"/>
  <c r="D27" i="40"/>
  <c r="E27" i="40"/>
  <c r="F27" i="40"/>
  <c r="G27" i="40"/>
  <c r="C28" i="40"/>
  <c r="D28" i="40"/>
  <c r="E28" i="40"/>
  <c r="F28" i="40"/>
  <c r="G28" i="40"/>
  <c r="C29" i="40"/>
  <c r="D29" i="40"/>
  <c r="E29" i="40"/>
  <c r="F29" i="40"/>
  <c r="G29" i="40"/>
  <c r="C30" i="40"/>
  <c r="D30" i="40"/>
  <c r="E30" i="40"/>
  <c r="F30" i="40"/>
  <c r="G30" i="40"/>
  <c r="C31" i="40"/>
  <c r="D31" i="40"/>
  <c r="E31" i="40"/>
  <c r="F31" i="40"/>
  <c r="G31" i="40"/>
  <c r="G32" i="40"/>
  <c r="E32" i="40"/>
  <c r="H32" i="40"/>
  <c r="H24" i="40"/>
  <c r="J24" i="40"/>
  <c r="H26" i="40"/>
  <c r="J26" i="40"/>
  <c r="H28" i="40"/>
  <c r="J28" i="40"/>
  <c r="H30" i="40"/>
  <c r="J30" i="40"/>
  <c r="D3" i="48"/>
  <c r="C6" i="48"/>
  <c r="D6" i="48"/>
  <c r="F6" i="48"/>
  <c r="C7" i="48"/>
  <c r="D7" i="48"/>
  <c r="E7" i="48"/>
  <c r="F7" i="48"/>
  <c r="C8" i="48"/>
  <c r="D8" i="48"/>
  <c r="E8" i="48"/>
  <c r="F8" i="48"/>
  <c r="C9" i="48"/>
  <c r="D9" i="48"/>
  <c r="E9" i="48"/>
  <c r="F9" i="48"/>
  <c r="C10" i="48"/>
  <c r="D10" i="48"/>
  <c r="E10" i="48"/>
  <c r="F10" i="48"/>
  <c r="C11" i="48"/>
  <c r="D11" i="48"/>
  <c r="E11" i="48"/>
  <c r="F11" i="48"/>
  <c r="C12" i="48"/>
  <c r="D12" i="48"/>
  <c r="E12" i="48"/>
  <c r="F12" i="48"/>
  <c r="C13" i="48"/>
  <c r="D13" i="48"/>
  <c r="E13" i="48"/>
  <c r="F13" i="48"/>
  <c r="C14" i="48"/>
  <c r="D14" i="48"/>
  <c r="E14" i="48"/>
  <c r="F14" i="48"/>
  <c r="C15" i="48"/>
  <c r="D15" i="48"/>
  <c r="F15" i="48"/>
  <c r="F16" i="48"/>
  <c r="D16" i="48"/>
  <c r="G16" i="48"/>
  <c r="G6" i="48"/>
  <c r="H6" i="48"/>
  <c r="I6" i="48"/>
  <c r="G7" i="48"/>
  <c r="I7" i="48"/>
  <c r="H8" i="48"/>
  <c r="G8" i="48"/>
  <c r="I8" i="48"/>
  <c r="G9" i="48"/>
  <c r="I9" i="48"/>
  <c r="G10" i="48"/>
  <c r="H10" i="48"/>
  <c r="I10" i="48"/>
  <c r="I11" i="48"/>
  <c r="I12" i="48"/>
  <c r="I13" i="48"/>
  <c r="I14" i="48"/>
  <c r="G15" i="48"/>
  <c r="H15" i="48"/>
  <c r="I15" i="48"/>
  <c r="I16" i="48"/>
  <c r="C3" i="48"/>
  <c r="B3" i="48"/>
  <c r="F33" i="48"/>
  <c r="E33" i="48"/>
  <c r="G33" i="48"/>
  <c r="B33" i="48"/>
  <c r="H33" i="48"/>
  <c r="I33" i="48"/>
  <c r="B5" i="43"/>
  <c r="C5" i="43"/>
  <c r="D5" i="43"/>
  <c r="H5" i="43"/>
  <c r="I5" i="43"/>
  <c r="D3" i="42"/>
  <c r="C6" i="42"/>
  <c r="D6" i="42"/>
  <c r="F6" i="42"/>
  <c r="C7" i="42"/>
  <c r="D7" i="42"/>
  <c r="E7" i="42"/>
  <c r="F7" i="42"/>
  <c r="C8" i="42"/>
  <c r="D8" i="42"/>
  <c r="E8" i="42"/>
  <c r="F8" i="42"/>
  <c r="C9" i="42"/>
  <c r="D9" i="42"/>
  <c r="E9" i="42"/>
  <c r="F9" i="42"/>
  <c r="C10" i="42"/>
  <c r="D10" i="42"/>
  <c r="E10" i="42"/>
  <c r="F10" i="42"/>
  <c r="C11" i="42"/>
  <c r="D11" i="42"/>
  <c r="E11" i="42"/>
  <c r="F11" i="42"/>
  <c r="C12" i="42"/>
  <c r="D12" i="42"/>
  <c r="E12" i="42"/>
  <c r="F12" i="42"/>
  <c r="C13" i="42"/>
  <c r="D13" i="42"/>
  <c r="E13" i="42"/>
  <c r="F13" i="42"/>
  <c r="C14" i="42"/>
  <c r="D14" i="42"/>
  <c r="E14" i="42"/>
  <c r="F14" i="42"/>
  <c r="C15" i="42"/>
  <c r="D15" i="42"/>
  <c r="F15" i="42"/>
  <c r="F16" i="42"/>
  <c r="D16" i="42"/>
  <c r="G16" i="42"/>
  <c r="G6" i="42"/>
  <c r="H6" i="42"/>
  <c r="I6" i="42"/>
  <c r="G7" i="42"/>
  <c r="I7" i="42"/>
  <c r="H8" i="42"/>
  <c r="G8" i="42"/>
  <c r="I8" i="42"/>
  <c r="G9" i="42"/>
  <c r="I9" i="42"/>
  <c r="G10" i="42"/>
  <c r="H10" i="42"/>
  <c r="I10" i="42"/>
  <c r="I11" i="42"/>
  <c r="I12" i="42"/>
  <c r="I13" i="42"/>
  <c r="I14" i="42"/>
  <c r="G15" i="42"/>
  <c r="H15" i="42"/>
  <c r="I15" i="42"/>
  <c r="I16" i="42"/>
  <c r="C3" i="42"/>
  <c r="B3" i="42"/>
  <c r="F33" i="42"/>
  <c r="E33" i="42"/>
  <c r="G33" i="42"/>
  <c r="B33" i="42"/>
  <c r="H33" i="42"/>
  <c r="I33" i="42"/>
  <c r="B5" i="41"/>
  <c r="C5" i="41"/>
  <c r="D5" i="41"/>
  <c r="H5" i="41"/>
  <c r="I5" i="41"/>
  <c r="J5" i="41"/>
  <c r="L5" i="41"/>
  <c r="M5" i="41"/>
  <c r="N5" i="41"/>
  <c r="O5" i="41"/>
  <c r="C19" i="42"/>
  <c r="D19" i="42"/>
  <c r="C20" i="42"/>
  <c r="D20" i="42"/>
  <c r="C21" i="42"/>
  <c r="D21" i="42"/>
  <c r="C22" i="42"/>
  <c r="D22" i="42"/>
  <c r="C23" i="42"/>
  <c r="D23" i="42"/>
  <c r="C24" i="42"/>
  <c r="D24" i="42"/>
  <c r="C25" i="42"/>
  <c r="D25" i="42"/>
  <c r="C26" i="42"/>
  <c r="D26" i="42"/>
  <c r="C27" i="42"/>
  <c r="D27" i="42"/>
  <c r="C28" i="42"/>
  <c r="D28" i="42"/>
  <c r="D29" i="42"/>
  <c r="E3" i="42"/>
  <c r="B36" i="42"/>
  <c r="B39" i="42"/>
  <c r="C39" i="42"/>
  <c r="D39" i="42"/>
  <c r="E39" i="42"/>
  <c r="B42" i="42"/>
  <c r="J5" i="43"/>
  <c r="L5" i="43"/>
  <c r="M5" i="43"/>
  <c r="N5" i="43"/>
  <c r="O5" i="43"/>
  <c r="C19" i="48"/>
  <c r="D19" i="48"/>
  <c r="C20" i="48"/>
  <c r="D20" i="48"/>
  <c r="C21" i="48"/>
  <c r="D21" i="48"/>
  <c r="C22" i="48"/>
  <c r="D22" i="48"/>
  <c r="C23" i="48"/>
  <c r="D23" i="48"/>
  <c r="C24" i="48"/>
  <c r="D24" i="48"/>
  <c r="C25" i="48"/>
  <c r="D25" i="48"/>
  <c r="C26" i="48"/>
  <c r="D26" i="48"/>
  <c r="C27" i="48"/>
  <c r="D27" i="48"/>
  <c r="C28" i="48"/>
  <c r="D28" i="48"/>
  <c r="D29" i="48"/>
  <c r="E3" i="48"/>
  <c r="B36" i="48"/>
  <c r="B39" i="48"/>
  <c r="C39" i="48"/>
  <c r="D39" i="48"/>
  <c r="E39" i="48"/>
  <c r="B42" i="48"/>
  <c r="B3" i="45"/>
  <c r="D11" i="45"/>
  <c r="E42" i="48"/>
  <c r="C11" i="45"/>
  <c r="E11" i="45"/>
  <c r="F11" i="45"/>
  <c r="G11" i="45"/>
  <c r="C12" i="45"/>
  <c r="D12" i="45"/>
  <c r="E12" i="45"/>
  <c r="F12" i="45"/>
  <c r="G12" i="45"/>
  <c r="C13" i="45"/>
  <c r="D13" i="45"/>
  <c r="E13" i="45"/>
  <c r="F13" i="45"/>
  <c r="G13" i="45"/>
  <c r="C14" i="45"/>
  <c r="D14" i="45"/>
  <c r="E14" i="45"/>
  <c r="F14" i="45"/>
  <c r="G14" i="45"/>
  <c r="C15" i="45"/>
  <c r="D15" i="45"/>
  <c r="E15" i="45"/>
  <c r="F15" i="45"/>
  <c r="G15" i="45"/>
  <c r="C16" i="45"/>
  <c r="D16" i="45"/>
  <c r="E16" i="45"/>
  <c r="F16" i="45"/>
  <c r="G16" i="45"/>
  <c r="B10" i="43"/>
  <c r="C10" i="43"/>
  <c r="D10" i="43"/>
  <c r="H10" i="43"/>
  <c r="I10" i="43"/>
  <c r="J10" i="43"/>
  <c r="L10" i="43"/>
  <c r="M10" i="43"/>
  <c r="N10" i="43"/>
  <c r="O10" i="43"/>
  <c r="C17" i="45"/>
  <c r="D17" i="45"/>
  <c r="E17" i="45"/>
  <c r="F17" i="45"/>
  <c r="G17" i="45"/>
  <c r="C19" i="45"/>
  <c r="D19" i="45"/>
  <c r="E19" i="45"/>
  <c r="F19" i="45"/>
  <c r="G19" i="45"/>
  <c r="C22" i="45"/>
  <c r="D22" i="45"/>
  <c r="E22" i="45"/>
  <c r="F22" i="45"/>
  <c r="G22" i="45"/>
  <c r="C23" i="45"/>
  <c r="D23" i="45"/>
  <c r="E23" i="45"/>
  <c r="F23" i="45"/>
  <c r="G23" i="45"/>
  <c r="D21" i="45"/>
  <c r="C21" i="45"/>
  <c r="E21" i="45"/>
  <c r="F21" i="45"/>
  <c r="G21" i="45"/>
  <c r="C18" i="45"/>
  <c r="D18" i="45"/>
  <c r="E18" i="45"/>
  <c r="F18" i="45"/>
  <c r="G18" i="45"/>
  <c r="C20" i="45"/>
  <c r="D20" i="45"/>
  <c r="E20" i="45"/>
  <c r="F20" i="45"/>
  <c r="G20" i="45"/>
  <c r="C24" i="45"/>
  <c r="D24" i="45"/>
  <c r="E24" i="45"/>
  <c r="F24" i="45"/>
  <c r="G24" i="45"/>
  <c r="C25" i="45"/>
  <c r="D25" i="45"/>
  <c r="E25" i="45"/>
  <c r="F25" i="45"/>
  <c r="G25" i="45"/>
  <c r="C26" i="45"/>
  <c r="D26" i="45"/>
  <c r="E26" i="45"/>
  <c r="F26" i="45"/>
  <c r="G26" i="45"/>
  <c r="C27" i="45"/>
  <c r="D27" i="45"/>
  <c r="E27" i="45"/>
  <c r="F27" i="45"/>
  <c r="G27" i="45"/>
  <c r="C28" i="45"/>
  <c r="D28" i="45"/>
  <c r="E28" i="45"/>
  <c r="F28" i="45"/>
  <c r="G28" i="45"/>
  <c r="C29" i="45"/>
  <c r="D29" i="45"/>
  <c r="E29" i="45"/>
  <c r="F29" i="45"/>
  <c r="G29" i="45"/>
  <c r="C30" i="45"/>
  <c r="D30" i="45"/>
  <c r="E30" i="45"/>
  <c r="F30" i="45"/>
  <c r="G30" i="45"/>
  <c r="C31" i="45"/>
  <c r="D31" i="45"/>
  <c r="E31" i="45"/>
  <c r="F31" i="45"/>
  <c r="G31" i="45"/>
  <c r="G32" i="45"/>
  <c r="E32" i="45"/>
  <c r="H32" i="45"/>
  <c r="H24" i="45"/>
  <c r="J24" i="45"/>
  <c r="H26" i="45"/>
  <c r="J26" i="45"/>
  <c r="H28" i="45"/>
  <c r="J28" i="45"/>
  <c r="H30" i="45"/>
  <c r="J30" i="45"/>
  <c r="D3" i="52"/>
  <c r="C6" i="52"/>
  <c r="D6" i="52"/>
  <c r="F6" i="52"/>
  <c r="C7" i="52"/>
  <c r="D7" i="52"/>
  <c r="E7" i="52"/>
  <c r="F7" i="52"/>
  <c r="C8" i="52"/>
  <c r="D8" i="52"/>
  <c r="E8" i="52"/>
  <c r="F8" i="52"/>
  <c r="C9" i="52"/>
  <c r="D9" i="52"/>
  <c r="E9" i="52"/>
  <c r="F9" i="52"/>
  <c r="C10" i="52"/>
  <c r="D10" i="52"/>
  <c r="E10" i="52"/>
  <c r="F10" i="52"/>
  <c r="C11" i="52"/>
  <c r="D11" i="52"/>
  <c r="E11" i="52"/>
  <c r="F11" i="52"/>
  <c r="C12" i="52"/>
  <c r="D12" i="52"/>
  <c r="E12" i="52"/>
  <c r="F12" i="52"/>
  <c r="C13" i="52"/>
  <c r="D13" i="52"/>
  <c r="E13" i="52"/>
  <c r="F13" i="52"/>
  <c r="C14" i="52"/>
  <c r="D14" i="52"/>
  <c r="E14" i="52"/>
  <c r="F14" i="52"/>
  <c r="C15" i="52"/>
  <c r="D15" i="52"/>
  <c r="F15" i="52"/>
  <c r="F16" i="52"/>
  <c r="D16" i="52"/>
  <c r="G16" i="52"/>
  <c r="G6" i="52"/>
  <c r="H6" i="52"/>
  <c r="I6" i="52"/>
  <c r="G7" i="52"/>
  <c r="I7" i="52"/>
  <c r="H8" i="52"/>
  <c r="G8" i="52"/>
  <c r="I8" i="52"/>
  <c r="G9" i="52"/>
  <c r="I9" i="52"/>
  <c r="G10" i="52"/>
  <c r="H10" i="52"/>
  <c r="I10" i="52"/>
  <c r="I11" i="52"/>
  <c r="I12" i="52"/>
  <c r="I13" i="52"/>
  <c r="I14" i="52"/>
  <c r="G15" i="52"/>
  <c r="H15" i="52"/>
  <c r="I15" i="52"/>
  <c r="I16" i="52"/>
  <c r="C3" i="52"/>
  <c r="B3" i="52"/>
  <c r="F33" i="52"/>
  <c r="E33" i="52"/>
  <c r="G33" i="52"/>
  <c r="B33" i="52"/>
  <c r="H33" i="52"/>
  <c r="I33" i="52"/>
  <c r="B5" i="51"/>
  <c r="C5" i="51"/>
  <c r="D5" i="51"/>
  <c r="H5" i="51"/>
  <c r="I5" i="51"/>
  <c r="D3" i="50"/>
  <c r="C6" i="50"/>
  <c r="D6" i="50"/>
  <c r="F6" i="50"/>
  <c r="C7" i="50"/>
  <c r="D7" i="50"/>
  <c r="E7" i="50"/>
  <c r="F7" i="50"/>
  <c r="C8" i="50"/>
  <c r="D8" i="50"/>
  <c r="E8" i="50"/>
  <c r="F8" i="50"/>
  <c r="C9" i="50"/>
  <c r="D9" i="50"/>
  <c r="E9" i="50"/>
  <c r="F9" i="50"/>
  <c r="C10" i="50"/>
  <c r="D10" i="50"/>
  <c r="E10" i="50"/>
  <c r="F10" i="50"/>
  <c r="C11" i="50"/>
  <c r="D11" i="50"/>
  <c r="E11" i="50"/>
  <c r="F11" i="50"/>
  <c r="C12" i="50"/>
  <c r="D12" i="50"/>
  <c r="E12" i="50"/>
  <c r="F12" i="50"/>
  <c r="C13" i="50"/>
  <c r="D13" i="50"/>
  <c r="E13" i="50"/>
  <c r="F13" i="50"/>
  <c r="C14" i="50"/>
  <c r="D14" i="50"/>
  <c r="E14" i="50"/>
  <c r="F14" i="50"/>
  <c r="C15" i="50"/>
  <c r="D15" i="50"/>
  <c r="F15" i="50"/>
  <c r="F16" i="50"/>
  <c r="D16" i="50"/>
  <c r="G16" i="50"/>
  <c r="G6" i="50"/>
  <c r="H6" i="50"/>
  <c r="I6" i="50"/>
  <c r="G7" i="50"/>
  <c r="I7" i="50"/>
  <c r="H8" i="50"/>
  <c r="G8" i="50"/>
  <c r="I8" i="50"/>
  <c r="G9" i="50"/>
  <c r="I9" i="50"/>
  <c r="G10" i="50"/>
  <c r="H10" i="50"/>
  <c r="I10" i="50"/>
  <c r="I11" i="50"/>
  <c r="I12" i="50"/>
  <c r="I13" i="50"/>
  <c r="I14" i="50"/>
  <c r="G15" i="50"/>
  <c r="H15" i="50"/>
  <c r="I15" i="50"/>
  <c r="I16" i="50"/>
  <c r="C3" i="50"/>
  <c r="B3" i="50"/>
  <c r="F33" i="50"/>
  <c r="E33" i="50"/>
  <c r="G33" i="50"/>
  <c r="B33" i="50"/>
  <c r="H33" i="50"/>
  <c r="I33" i="50"/>
  <c r="B5" i="49"/>
  <c r="C5" i="49"/>
  <c r="D5" i="49"/>
  <c r="H5" i="49"/>
  <c r="I5" i="49"/>
  <c r="J5" i="49"/>
  <c r="L5" i="49"/>
  <c r="M5" i="49"/>
  <c r="N5" i="49"/>
  <c r="O5" i="49"/>
  <c r="C19" i="50"/>
  <c r="D19" i="50"/>
  <c r="C20" i="50"/>
  <c r="D20" i="50"/>
  <c r="C21" i="50"/>
  <c r="D21" i="50"/>
  <c r="C22" i="50"/>
  <c r="D22" i="50"/>
  <c r="C23" i="50"/>
  <c r="D23" i="50"/>
  <c r="C24" i="50"/>
  <c r="D24" i="50"/>
  <c r="C25" i="50"/>
  <c r="D25" i="50"/>
  <c r="C26" i="50"/>
  <c r="D26" i="50"/>
  <c r="C27" i="50"/>
  <c r="D27" i="50"/>
  <c r="C28" i="50"/>
  <c r="D28" i="50"/>
  <c r="D29" i="50"/>
  <c r="E3" i="50"/>
  <c r="B36" i="50"/>
  <c r="B39" i="50"/>
  <c r="C39" i="50"/>
  <c r="D39" i="50"/>
  <c r="E39" i="50"/>
  <c r="B42" i="50"/>
  <c r="J5" i="51"/>
  <c r="L5" i="51"/>
  <c r="M5" i="51"/>
  <c r="N5" i="51"/>
  <c r="O5" i="51"/>
  <c r="C19" i="52"/>
  <c r="D19" i="52"/>
  <c r="C20" i="52"/>
  <c r="D20" i="52"/>
  <c r="C21" i="52"/>
  <c r="D21" i="52"/>
  <c r="C22" i="52"/>
  <c r="D22" i="52"/>
  <c r="C23" i="52"/>
  <c r="D23" i="52"/>
  <c r="C24" i="52"/>
  <c r="D24" i="52"/>
  <c r="C25" i="52"/>
  <c r="D25" i="52"/>
  <c r="C26" i="52"/>
  <c r="D26" i="52"/>
  <c r="C27" i="52"/>
  <c r="D27" i="52"/>
  <c r="C28" i="52"/>
  <c r="D28" i="52"/>
  <c r="D29" i="52"/>
  <c r="E3" i="52"/>
  <c r="B36" i="52"/>
  <c r="B39" i="52"/>
  <c r="C39" i="52"/>
  <c r="D39" i="52"/>
  <c r="E39" i="52"/>
  <c r="B42" i="52"/>
  <c r="B3" i="54"/>
  <c r="D11" i="54"/>
  <c r="E42" i="52"/>
  <c r="C11" i="54"/>
  <c r="E11" i="54"/>
  <c r="F11" i="54"/>
  <c r="G11" i="54"/>
  <c r="C12" i="54"/>
  <c r="D12" i="54"/>
  <c r="A12" i="54"/>
  <c r="E12" i="54"/>
  <c r="F12" i="54"/>
  <c r="G12" i="54"/>
  <c r="C13" i="54"/>
  <c r="D13" i="54"/>
  <c r="A13" i="54"/>
  <c r="E13" i="54"/>
  <c r="F13" i="54"/>
  <c r="G13" i="54"/>
  <c r="C14" i="54"/>
  <c r="D14" i="54"/>
  <c r="A14" i="54"/>
  <c r="E14" i="54"/>
  <c r="F14" i="54"/>
  <c r="G14" i="54"/>
  <c r="C15" i="54"/>
  <c r="D15" i="54"/>
  <c r="A15" i="54"/>
  <c r="E15" i="54"/>
  <c r="F15" i="54"/>
  <c r="G15" i="54"/>
  <c r="C16" i="54"/>
  <c r="D16" i="54"/>
  <c r="A16" i="54"/>
  <c r="E16" i="54"/>
  <c r="F16" i="54"/>
  <c r="G16" i="54"/>
  <c r="B10" i="51"/>
  <c r="C10" i="51"/>
  <c r="D10" i="51"/>
  <c r="H10" i="51"/>
  <c r="I10" i="51"/>
  <c r="J10" i="51"/>
  <c r="L10" i="51"/>
  <c r="M10" i="51"/>
  <c r="N10" i="51"/>
  <c r="O10" i="51"/>
  <c r="C17" i="54"/>
  <c r="D17" i="54"/>
  <c r="E17" i="54"/>
  <c r="F17" i="54"/>
  <c r="G17" i="54"/>
  <c r="C19" i="54"/>
  <c r="D19" i="54"/>
  <c r="E19" i="54"/>
  <c r="F19" i="54"/>
  <c r="G19" i="54"/>
  <c r="C22" i="54"/>
  <c r="D22" i="54"/>
  <c r="E22" i="54"/>
  <c r="F22" i="54"/>
  <c r="G22" i="54"/>
  <c r="C23" i="54"/>
  <c r="D23" i="54"/>
  <c r="E23" i="54"/>
  <c r="F23" i="54"/>
  <c r="G23" i="54"/>
  <c r="D21" i="54"/>
  <c r="C21" i="54"/>
  <c r="E21" i="54"/>
  <c r="F21" i="54"/>
  <c r="G21" i="54"/>
  <c r="C18" i="54"/>
  <c r="D18" i="54"/>
  <c r="E18" i="54"/>
  <c r="F18" i="54"/>
  <c r="G18" i="54"/>
  <c r="C20" i="54"/>
  <c r="D20" i="54"/>
  <c r="E20" i="54"/>
  <c r="F20" i="54"/>
  <c r="G20" i="54"/>
  <c r="C24" i="54"/>
  <c r="D24" i="54"/>
  <c r="E24" i="54"/>
  <c r="F24" i="54"/>
  <c r="G24" i="54"/>
  <c r="C25" i="54"/>
  <c r="D25" i="54"/>
  <c r="E25" i="54"/>
  <c r="F25" i="54"/>
  <c r="G25" i="54"/>
  <c r="C26" i="54"/>
  <c r="D26" i="54"/>
  <c r="E26" i="54"/>
  <c r="F26" i="54"/>
  <c r="G26" i="54"/>
  <c r="C27" i="54"/>
  <c r="D27" i="54"/>
  <c r="E27" i="54"/>
  <c r="F27" i="54"/>
  <c r="G27" i="54"/>
  <c r="C28" i="54"/>
  <c r="D28" i="54"/>
  <c r="E28" i="54"/>
  <c r="F28" i="54"/>
  <c r="G28" i="54"/>
  <c r="C29" i="54"/>
  <c r="D29" i="54"/>
  <c r="E29" i="54"/>
  <c r="F29" i="54"/>
  <c r="G29" i="54"/>
  <c r="C30" i="54"/>
  <c r="D30" i="54"/>
  <c r="E30" i="54"/>
  <c r="F30" i="54"/>
  <c r="G30" i="54"/>
  <c r="C31" i="54"/>
  <c r="D31" i="54"/>
  <c r="E31" i="54"/>
  <c r="F31" i="54"/>
  <c r="G31" i="54"/>
  <c r="G32" i="54"/>
  <c r="E32" i="54"/>
  <c r="H32" i="54"/>
  <c r="H24" i="54"/>
  <c r="J24" i="54"/>
  <c r="H26" i="54"/>
  <c r="J26" i="54"/>
  <c r="H28" i="54"/>
  <c r="J28" i="54"/>
  <c r="H30" i="54"/>
  <c r="J30" i="54"/>
  <c r="H24" i="6"/>
  <c r="J24" i="6"/>
  <c r="H26" i="6"/>
  <c r="J26" i="6"/>
  <c r="H28" i="6"/>
  <c r="J28" i="6"/>
  <c r="H30" i="6"/>
  <c r="J30" i="6"/>
  <c r="L39" i="7"/>
  <c r="N39" i="7"/>
  <c r="L31" i="7"/>
  <c r="N31" i="7"/>
  <c r="E7" i="7"/>
  <c r="D29" i="55"/>
  <c r="D28" i="55"/>
  <c r="D27" i="55"/>
  <c r="D26" i="55"/>
  <c r="D25" i="55"/>
  <c r="A3" i="7"/>
  <c r="D8" i="7"/>
  <c r="E8" i="7"/>
  <c r="E9" i="7"/>
  <c r="D10" i="7"/>
  <c r="E10" i="7"/>
  <c r="E11" i="7"/>
  <c r="D12" i="7"/>
  <c r="E12" i="7"/>
  <c r="D13" i="7"/>
  <c r="E13" i="7"/>
  <c r="D14" i="7"/>
  <c r="E14" i="7"/>
  <c r="D6" i="7"/>
  <c r="C9" i="55"/>
  <c r="C6" i="7"/>
  <c r="K3" i="7"/>
  <c r="D3" i="54"/>
  <c r="H11" i="54"/>
  <c r="M30" i="7"/>
  <c r="I11" i="54"/>
  <c r="J11" i="54"/>
  <c r="H12" i="54"/>
  <c r="I12" i="54"/>
  <c r="J12" i="54"/>
  <c r="H13" i="54"/>
  <c r="J13" i="54"/>
  <c r="H14" i="54"/>
  <c r="I14" i="54"/>
  <c r="J14" i="54"/>
  <c r="H15" i="54"/>
  <c r="J15" i="54"/>
  <c r="H16" i="54"/>
  <c r="I16" i="54"/>
  <c r="J16" i="54"/>
  <c r="H17" i="54"/>
  <c r="I17" i="54"/>
  <c r="J17" i="54"/>
  <c r="H18" i="54"/>
  <c r="J18" i="54"/>
  <c r="H19" i="54"/>
  <c r="I19" i="54"/>
  <c r="J19" i="54"/>
  <c r="H20" i="54"/>
  <c r="I20" i="54"/>
  <c r="J20" i="54"/>
  <c r="H21" i="54"/>
  <c r="I21" i="54"/>
  <c r="J21" i="54"/>
  <c r="H22" i="54"/>
  <c r="J22" i="54"/>
  <c r="H23" i="54"/>
  <c r="M38" i="7"/>
  <c r="I23" i="54"/>
  <c r="J23" i="54"/>
  <c r="H25" i="54"/>
  <c r="M40" i="7"/>
  <c r="I25" i="54"/>
  <c r="J25" i="54"/>
  <c r="H27" i="54"/>
  <c r="M42" i="7"/>
  <c r="I27" i="54"/>
  <c r="J27" i="54"/>
  <c r="H29" i="54"/>
  <c r="M44" i="7"/>
  <c r="I29" i="54"/>
  <c r="J29" i="54"/>
  <c r="H31" i="54"/>
  <c r="M46" i="7"/>
  <c r="I31" i="54"/>
  <c r="J31" i="54"/>
  <c r="J32" i="54"/>
  <c r="H33" i="54"/>
  <c r="C34" i="54"/>
  <c r="C35" i="54"/>
  <c r="C36" i="54"/>
  <c r="B39" i="54"/>
  <c r="B40" i="54"/>
  <c r="C36" i="55"/>
  <c r="I21" i="45"/>
  <c r="H21" i="45"/>
  <c r="J21" i="45"/>
  <c r="I20" i="45"/>
  <c r="H20" i="45"/>
  <c r="J20" i="45"/>
  <c r="I21" i="40"/>
  <c r="I20" i="40"/>
  <c r="H21" i="40"/>
  <c r="J21" i="40"/>
  <c r="H20" i="40"/>
  <c r="J20" i="40"/>
  <c r="I21" i="6"/>
  <c r="I20" i="6"/>
  <c r="H21" i="6"/>
  <c r="J21" i="6"/>
  <c r="H20" i="6"/>
  <c r="J20" i="6"/>
  <c r="H11" i="45"/>
  <c r="I11" i="45"/>
  <c r="J11" i="45"/>
  <c r="H12" i="45"/>
  <c r="I12" i="45"/>
  <c r="J12" i="45"/>
  <c r="H13" i="45"/>
  <c r="J13" i="45"/>
  <c r="H14" i="45"/>
  <c r="I14" i="45"/>
  <c r="J14" i="45"/>
  <c r="H15" i="45"/>
  <c r="J15" i="45"/>
  <c r="H16" i="45"/>
  <c r="I16" i="45"/>
  <c r="J16" i="45"/>
  <c r="H17" i="45"/>
  <c r="I17" i="45"/>
  <c r="J17" i="45"/>
  <c r="H18" i="45"/>
  <c r="J18" i="45"/>
  <c r="H19" i="45"/>
  <c r="I19" i="45"/>
  <c r="J19" i="45"/>
  <c r="H22" i="45"/>
  <c r="J22" i="45"/>
  <c r="H23" i="45"/>
  <c r="I23" i="45"/>
  <c r="J23" i="45"/>
  <c r="H25" i="45"/>
  <c r="I25" i="45"/>
  <c r="J25" i="45"/>
  <c r="H27" i="45"/>
  <c r="I27" i="45"/>
  <c r="J27" i="45"/>
  <c r="H29" i="45"/>
  <c r="I29" i="45"/>
  <c r="J29" i="45"/>
  <c r="H31" i="45"/>
  <c r="I31" i="45"/>
  <c r="J31" i="45"/>
  <c r="J32" i="45"/>
  <c r="H11" i="40"/>
  <c r="I11" i="40"/>
  <c r="J11" i="40"/>
  <c r="H12" i="40"/>
  <c r="I12" i="40"/>
  <c r="J12" i="40"/>
  <c r="H13" i="40"/>
  <c r="J13" i="40"/>
  <c r="H14" i="40"/>
  <c r="I14" i="40"/>
  <c r="J14" i="40"/>
  <c r="H15" i="40"/>
  <c r="J15" i="40"/>
  <c r="H16" i="40"/>
  <c r="I16" i="40"/>
  <c r="J16" i="40"/>
  <c r="H17" i="40"/>
  <c r="I17" i="40"/>
  <c r="J17" i="40"/>
  <c r="H18" i="40"/>
  <c r="J18" i="40"/>
  <c r="H19" i="40"/>
  <c r="I19" i="40"/>
  <c r="J19" i="40"/>
  <c r="H22" i="40"/>
  <c r="J22" i="40"/>
  <c r="H23" i="40"/>
  <c r="I23" i="40"/>
  <c r="J23" i="40"/>
  <c r="H25" i="40"/>
  <c r="I25" i="40"/>
  <c r="J25" i="40"/>
  <c r="H27" i="40"/>
  <c r="I27" i="40"/>
  <c r="J27" i="40"/>
  <c r="H29" i="40"/>
  <c r="I29" i="40"/>
  <c r="J29" i="40"/>
  <c r="H31" i="40"/>
  <c r="I31" i="40"/>
  <c r="J31" i="40"/>
  <c r="J32" i="40"/>
  <c r="H11" i="6"/>
  <c r="I11" i="6"/>
  <c r="J11" i="6"/>
  <c r="H12" i="6"/>
  <c r="I12" i="6"/>
  <c r="J12" i="6"/>
  <c r="H13" i="6"/>
  <c r="J13" i="6"/>
  <c r="H14" i="6"/>
  <c r="I14" i="6"/>
  <c r="J14" i="6"/>
  <c r="H15" i="6"/>
  <c r="J15" i="6"/>
  <c r="H16" i="6"/>
  <c r="I16" i="6"/>
  <c r="J16" i="6"/>
  <c r="H17" i="6"/>
  <c r="I17" i="6"/>
  <c r="J17" i="6"/>
  <c r="H18" i="6"/>
  <c r="J18" i="6"/>
  <c r="H19" i="6"/>
  <c r="I19" i="6"/>
  <c r="J19" i="6"/>
  <c r="H22" i="6"/>
  <c r="J22" i="6"/>
  <c r="H23" i="6"/>
  <c r="I23" i="6"/>
  <c r="J23" i="6"/>
  <c r="H25" i="6"/>
  <c r="I25" i="6"/>
  <c r="J25" i="6"/>
  <c r="H27" i="6"/>
  <c r="I27" i="6"/>
  <c r="J27" i="6"/>
  <c r="H29" i="6"/>
  <c r="I29" i="6"/>
  <c r="J29" i="6"/>
  <c r="H31" i="6"/>
  <c r="I31" i="6"/>
  <c r="J31" i="6"/>
  <c r="J32" i="6"/>
  <c r="J33" i="6"/>
  <c r="A4" i="7"/>
  <c r="G42" i="46"/>
  <c r="A16" i="45"/>
  <c r="A15" i="45"/>
  <c r="A14" i="45"/>
  <c r="A13" i="45"/>
  <c r="A12" i="45"/>
  <c r="A16" i="40"/>
  <c r="A15" i="40"/>
  <c r="A14" i="40"/>
  <c r="A13" i="40"/>
  <c r="A12" i="40"/>
  <c r="A13" i="6"/>
  <c r="A14" i="6"/>
  <c r="A15" i="6"/>
  <c r="A16" i="6"/>
  <c r="A12" i="6"/>
  <c r="E42" i="2"/>
  <c r="C42" i="42"/>
  <c r="D3" i="3"/>
  <c r="F3" i="3"/>
  <c r="B3" i="3"/>
  <c r="C3" i="3"/>
  <c r="B6" i="3"/>
  <c r="C6" i="3"/>
  <c r="D27" i="3"/>
  <c r="E27" i="3"/>
  <c r="C11" i="3"/>
  <c r="D11" i="3"/>
  <c r="F11" i="3"/>
  <c r="C12" i="3"/>
  <c r="D12" i="3"/>
  <c r="E12" i="3"/>
  <c r="F12" i="3"/>
  <c r="F21" i="3"/>
  <c r="D21" i="3"/>
  <c r="G21" i="3"/>
  <c r="B24" i="3"/>
  <c r="B27" i="3"/>
  <c r="C27" i="3"/>
  <c r="H24" i="3"/>
  <c r="G27" i="3"/>
  <c r="C24" i="3"/>
  <c r="D40" i="54"/>
  <c r="E39" i="54"/>
  <c r="J33" i="54"/>
  <c r="J34" i="54"/>
  <c r="O33" i="54"/>
  <c r="O32" i="54"/>
  <c r="I30" i="54"/>
  <c r="I28" i="54"/>
  <c r="O27" i="54"/>
  <c r="N27" i="54"/>
  <c r="O26" i="54"/>
  <c r="I26" i="54"/>
  <c r="N26" i="54"/>
  <c r="O25" i="54"/>
  <c r="N25" i="54"/>
  <c r="O24" i="54"/>
  <c r="I24" i="54"/>
  <c r="N24" i="54"/>
  <c r="O23" i="54"/>
  <c r="N23" i="54"/>
  <c r="I22" i="54"/>
  <c r="O18" i="54"/>
  <c r="I18" i="54"/>
  <c r="N18" i="54"/>
  <c r="O17" i="54"/>
  <c r="N17" i="54"/>
  <c r="O16" i="54"/>
  <c r="N16" i="54"/>
  <c r="I15" i="54"/>
  <c r="O14" i="54"/>
  <c r="N14" i="54"/>
  <c r="O13" i="54"/>
  <c r="I13" i="54"/>
  <c r="N13" i="54"/>
  <c r="O12" i="54"/>
  <c r="N12" i="54"/>
  <c r="E6" i="54"/>
  <c r="D6" i="54"/>
  <c r="C3" i="54"/>
  <c r="B6" i="54"/>
  <c r="C6" i="54"/>
  <c r="B24" i="53"/>
  <c r="B27" i="53"/>
  <c r="C11" i="53"/>
  <c r="B3" i="53"/>
  <c r="D11" i="53"/>
  <c r="F11" i="53"/>
  <c r="C12" i="53"/>
  <c r="D12" i="53"/>
  <c r="E12" i="53"/>
  <c r="F12" i="53"/>
  <c r="F21" i="53"/>
  <c r="D21" i="53"/>
  <c r="G21" i="53"/>
  <c r="C3" i="53"/>
  <c r="D3" i="53"/>
  <c r="F3" i="53"/>
  <c r="B6" i="53"/>
  <c r="C27" i="53"/>
  <c r="D27" i="53"/>
  <c r="C6" i="53"/>
  <c r="E27" i="53"/>
  <c r="G27" i="53"/>
  <c r="F27" i="53"/>
  <c r="H24" i="53"/>
  <c r="C24" i="53"/>
  <c r="C20" i="53"/>
  <c r="D20" i="53"/>
  <c r="D15" i="7"/>
  <c r="E20" i="53"/>
  <c r="F20" i="53"/>
  <c r="C19" i="53"/>
  <c r="D19" i="53"/>
  <c r="E19" i="53"/>
  <c r="F19" i="53"/>
  <c r="C18" i="53"/>
  <c r="D18" i="53"/>
  <c r="E18" i="53"/>
  <c r="F18" i="53"/>
  <c r="C17" i="53"/>
  <c r="D17" i="53"/>
  <c r="E17" i="53"/>
  <c r="F17" i="53"/>
  <c r="C16" i="53"/>
  <c r="D16" i="53"/>
  <c r="E16" i="53"/>
  <c r="F16" i="53"/>
  <c r="C15" i="53"/>
  <c r="D15" i="53"/>
  <c r="E15" i="53"/>
  <c r="F15" i="53"/>
  <c r="C14" i="53"/>
  <c r="D14" i="53"/>
  <c r="F14" i="53"/>
  <c r="C13" i="53"/>
  <c r="D13" i="53"/>
  <c r="E13" i="53"/>
  <c r="F13" i="53"/>
  <c r="D6" i="53"/>
  <c r="E6" i="53"/>
  <c r="G3" i="53"/>
  <c r="H3" i="53"/>
  <c r="G42" i="52"/>
  <c r="C42" i="52"/>
  <c r="D33" i="52"/>
  <c r="L23" i="52"/>
  <c r="H14" i="52"/>
  <c r="G14" i="52"/>
  <c r="H13" i="52"/>
  <c r="G13" i="52"/>
  <c r="H12" i="52"/>
  <c r="G12" i="52"/>
  <c r="H11" i="52"/>
  <c r="G11" i="52"/>
  <c r="L10" i="52"/>
  <c r="F3" i="52"/>
  <c r="E42" i="50"/>
  <c r="E10" i="51"/>
  <c r="E5" i="51"/>
  <c r="G42" i="50"/>
  <c r="C42" i="50"/>
  <c r="D33" i="50"/>
  <c r="L23" i="50"/>
  <c r="H14" i="50"/>
  <c r="G14" i="50"/>
  <c r="H13" i="50"/>
  <c r="G13" i="50"/>
  <c r="H12" i="50"/>
  <c r="G12" i="50"/>
  <c r="H11" i="50"/>
  <c r="G11" i="50"/>
  <c r="L10" i="50"/>
  <c r="F3" i="50"/>
  <c r="E5" i="49"/>
  <c r="H33" i="45"/>
  <c r="C34" i="45"/>
  <c r="C35" i="45"/>
  <c r="C36" i="45"/>
  <c r="D3" i="45"/>
  <c r="B39" i="45"/>
  <c r="B40" i="45"/>
  <c r="D40" i="45"/>
  <c r="H33" i="40"/>
  <c r="C34" i="40"/>
  <c r="C35" i="40"/>
  <c r="C36" i="40"/>
  <c r="D3" i="40"/>
  <c r="B39" i="40"/>
  <c r="B40" i="40"/>
  <c r="D40" i="40"/>
  <c r="H33" i="6"/>
  <c r="C34" i="6"/>
  <c r="C35" i="6"/>
  <c r="C36" i="6"/>
  <c r="D3" i="6"/>
  <c r="B39" i="6"/>
  <c r="B40" i="6"/>
  <c r="D40" i="6"/>
  <c r="J33" i="40"/>
  <c r="L30" i="7"/>
  <c r="N30" i="7"/>
  <c r="L32" i="7"/>
  <c r="N32" i="7"/>
  <c r="L33" i="7"/>
  <c r="N33" i="7"/>
  <c r="L34" i="7"/>
  <c r="N34" i="7"/>
  <c r="L35" i="7"/>
  <c r="N35" i="7"/>
  <c r="L36" i="7"/>
  <c r="N36" i="7"/>
  <c r="L37" i="7"/>
  <c r="N37" i="7"/>
  <c r="L38" i="7"/>
  <c r="N38" i="7"/>
  <c r="L40" i="7"/>
  <c r="N40" i="7"/>
  <c r="L42" i="7"/>
  <c r="N42" i="7"/>
  <c r="L44" i="7"/>
  <c r="N44" i="7"/>
  <c r="L46" i="7"/>
  <c r="N46" i="7"/>
  <c r="N48" i="7"/>
  <c r="E42" i="35"/>
  <c r="G42" i="48"/>
  <c r="C42" i="48"/>
  <c r="D33" i="48"/>
  <c r="L23" i="48"/>
  <c r="H14" i="48"/>
  <c r="G14" i="48"/>
  <c r="H13" i="48"/>
  <c r="G13" i="48"/>
  <c r="H12" i="48"/>
  <c r="G12" i="48"/>
  <c r="H11" i="48"/>
  <c r="G11" i="48"/>
  <c r="L10" i="48"/>
  <c r="F3" i="48"/>
  <c r="L23" i="42"/>
  <c r="G42" i="47"/>
  <c r="C42" i="47"/>
  <c r="D33" i="47"/>
  <c r="L23" i="47"/>
  <c r="H14" i="47"/>
  <c r="G14" i="47"/>
  <c r="H13" i="47"/>
  <c r="G13" i="47"/>
  <c r="H12" i="47"/>
  <c r="G12" i="47"/>
  <c r="H11" i="47"/>
  <c r="G11" i="47"/>
  <c r="L10" i="47"/>
  <c r="F3" i="47"/>
  <c r="L23" i="35"/>
  <c r="C42" i="46"/>
  <c r="D33" i="46"/>
  <c r="L23" i="46"/>
  <c r="J19" i="46"/>
  <c r="H14" i="46"/>
  <c r="G14" i="46"/>
  <c r="H13" i="46"/>
  <c r="G13" i="46"/>
  <c r="H12" i="46"/>
  <c r="G12" i="46"/>
  <c r="H11" i="46"/>
  <c r="G11" i="46"/>
  <c r="L10" i="46"/>
  <c r="J6" i="46"/>
  <c r="F3" i="46"/>
  <c r="L23" i="2"/>
  <c r="J19" i="2"/>
  <c r="D33" i="2"/>
  <c r="J6" i="2"/>
  <c r="D17" i="7"/>
  <c r="I49" i="7"/>
  <c r="I50" i="7"/>
  <c r="N49" i="7"/>
  <c r="N50" i="7"/>
  <c r="C47" i="45"/>
  <c r="C48" i="45"/>
  <c r="C49" i="45"/>
  <c r="C52" i="45"/>
  <c r="C55" i="45"/>
  <c r="C56" i="45"/>
  <c r="C60" i="45"/>
  <c r="C61" i="45"/>
  <c r="C62" i="45"/>
  <c r="D59" i="45"/>
  <c r="C59" i="45"/>
  <c r="D58" i="45"/>
  <c r="C58" i="45"/>
  <c r="D57" i="45"/>
  <c r="C57" i="45"/>
  <c r="D55" i="45"/>
  <c r="D54" i="45"/>
  <c r="C54" i="45"/>
  <c r="D52" i="45"/>
  <c r="D53" i="45"/>
  <c r="C53" i="45"/>
  <c r="D51" i="45"/>
  <c r="D50" i="45"/>
  <c r="D49" i="45"/>
  <c r="D48" i="45"/>
  <c r="D47" i="45"/>
  <c r="D46" i="45"/>
  <c r="C46" i="45"/>
  <c r="D45" i="45"/>
  <c r="I30" i="45"/>
  <c r="I28" i="45"/>
  <c r="N27" i="45"/>
  <c r="I26" i="45"/>
  <c r="N26" i="45"/>
  <c r="N25" i="45"/>
  <c r="I24" i="45"/>
  <c r="N24" i="45"/>
  <c r="N23" i="45"/>
  <c r="I22" i="45"/>
  <c r="I18" i="45"/>
  <c r="N18" i="45"/>
  <c r="N17" i="45"/>
  <c r="N16" i="45"/>
  <c r="I15" i="45"/>
  <c r="N14" i="45"/>
  <c r="I13" i="45"/>
  <c r="N13" i="45"/>
  <c r="N12" i="45"/>
  <c r="E6" i="45"/>
  <c r="D6" i="45"/>
  <c r="C3" i="45"/>
  <c r="B6" i="45"/>
  <c r="C6" i="45"/>
  <c r="B24" i="44"/>
  <c r="B27" i="44"/>
  <c r="C11" i="44"/>
  <c r="B3" i="44"/>
  <c r="D11" i="44"/>
  <c r="F11" i="44"/>
  <c r="C12" i="44"/>
  <c r="D12" i="44"/>
  <c r="E12" i="44"/>
  <c r="F12" i="44"/>
  <c r="F21" i="44"/>
  <c r="D21" i="44"/>
  <c r="G21" i="44"/>
  <c r="C3" i="44"/>
  <c r="D3" i="44"/>
  <c r="C20" i="44"/>
  <c r="D20" i="44"/>
  <c r="E20" i="44"/>
  <c r="F20" i="44"/>
  <c r="C19" i="44"/>
  <c r="D19" i="44"/>
  <c r="E19" i="44"/>
  <c r="F19" i="44"/>
  <c r="C18" i="44"/>
  <c r="D18" i="44"/>
  <c r="E18" i="44"/>
  <c r="F18" i="44"/>
  <c r="C17" i="44"/>
  <c r="D17" i="44"/>
  <c r="E17" i="44"/>
  <c r="F17" i="44"/>
  <c r="C16" i="44"/>
  <c r="D16" i="44"/>
  <c r="E16" i="44"/>
  <c r="F16" i="44"/>
  <c r="E15" i="44"/>
  <c r="C13" i="44"/>
  <c r="D13" i="44"/>
  <c r="E13" i="44"/>
  <c r="F13" i="44"/>
  <c r="E10" i="43"/>
  <c r="E5" i="43"/>
  <c r="D33" i="42"/>
  <c r="H14" i="42"/>
  <c r="H13" i="42"/>
  <c r="H12" i="42"/>
  <c r="H11" i="42"/>
  <c r="F3" i="42"/>
  <c r="E5" i="41"/>
  <c r="C47" i="40"/>
  <c r="C48" i="40"/>
  <c r="C49" i="40"/>
  <c r="D55" i="40"/>
  <c r="D52" i="40"/>
  <c r="D51" i="40"/>
  <c r="D50" i="40"/>
  <c r="D49" i="40"/>
  <c r="D48" i="40"/>
  <c r="D47" i="40"/>
  <c r="D46" i="40"/>
  <c r="C46" i="40"/>
  <c r="D45" i="40"/>
  <c r="I30" i="40"/>
  <c r="I28" i="40"/>
  <c r="N27" i="40"/>
  <c r="I26" i="40"/>
  <c r="N26" i="40"/>
  <c r="N25" i="40"/>
  <c r="I24" i="40"/>
  <c r="N24" i="40"/>
  <c r="N23" i="40"/>
  <c r="I22" i="40"/>
  <c r="I18" i="40"/>
  <c r="N18" i="40"/>
  <c r="N17" i="40"/>
  <c r="N16" i="40"/>
  <c r="I15" i="40"/>
  <c r="I13" i="40"/>
  <c r="N13" i="40"/>
  <c r="N12" i="40"/>
  <c r="C3" i="40"/>
  <c r="B6" i="40"/>
  <c r="C6" i="40"/>
  <c r="E10" i="39"/>
  <c r="E5" i="39"/>
  <c r="E10" i="38"/>
  <c r="E5" i="38"/>
  <c r="B24" i="36"/>
  <c r="B27" i="36"/>
  <c r="B3" i="36"/>
  <c r="C12" i="36"/>
  <c r="D12" i="36"/>
  <c r="E12" i="36"/>
  <c r="F12" i="36"/>
  <c r="C3" i="36"/>
  <c r="D3" i="36"/>
  <c r="C20" i="36"/>
  <c r="D20" i="36"/>
  <c r="E20" i="36"/>
  <c r="F20" i="36"/>
  <c r="C19" i="36"/>
  <c r="D19" i="36"/>
  <c r="E19" i="36"/>
  <c r="F19" i="36"/>
  <c r="C18" i="36"/>
  <c r="D18" i="36"/>
  <c r="E18" i="36"/>
  <c r="F18" i="36"/>
  <c r="C17" i="36"/>
  <c r="D17" i="36"/>
  <c r="E17" i="36"/>
  <c r="F17" i="36"/>
  <c r="C16" i="36"/>
  <c r="D16" i="36"/>
  <c r="E16" i="36"/>
  <c r="F16" i="36"/>
  <c r="E15" i="36"/>
  <c r="E13" i="36"/>
  <c r="D33" i="35"/>
  <c r="H14" i="35"/>
  <c r="H12" i="35"/>
  <c r="H11" i="35"/>
  <c r="F3" i="35"/>
  <c r="I13" i="6"/>
  <c r="I18" i="6"/>
  <c r="I22" i="6"/>
  <c r="I24" i="6"/>
  <c r="I26" i="6"/>
  <c r="I28" i="6"/>
  <c r="I30" i="6"/>
  <c r="I15" i="6"/>
  <c r="H14" i="2"/>
  <c r="H12" i="2"/>
  <c r="H11" i="2"/>
  <c r="F22" i="7"/>
  <c r="F25" i="7"/>
  <c r="F21" i="7"/>
  <c r="F24" i="7"/>
  <c r="F20" i="7"/>
  <c r="F23" i="7"/>
  <c r="E5" i="26"/>
  <c r="E15" i="3"/>
  <c r="E13" i="3"/>
  <c r="C16" i="3"/>
  <c r="D16" i="3"/>
  <c r="E16" i="3"/>
  <c r="F16" i="3"/>
  <c r="C17" i="3"/>
  <c r="D17" i="3"/>
  <c r="E17" i="3"/>
  <c r="F17" i="3"/>
  <c r="C18" i="3"/>
  <c r="D18" i="3"/>
  <c r="E18" i="3"/>
  <c r="F18" i="3"/>
  <c r="C19" i="3"/>
  <c r="D19" i="3"/>
  <c r="E19" i="3"/>
  <c r="F19" i="3"/>
  <c r="C20" i="3"/>
  <c r="D20" i="3"/>
  <c r="E20" i="3"/>
  <c r="F20" i="3"/>
  <c r="F32" i="7"/>
  <c r="F33" i="7"/>
  <c r="F35" i="7"/>
  <c r="D48" i="7"/>
  <c r="N23" i="6"/>
  <c r="N27" i="6"/>
  <c r="C3" i="6"/>
  <c r="N16" i="6"/>
  <c r="N17" i="6"/>
  <c r="N12" i="6"/>
  <c r="F3" i="2"/>
  <c r="E5" i="1"/>
  <c r="B6" i="6"/>
  <c r="C6" i="6"/>
  <c r="N18" i="6"/>
  <c r="F34" i="7"/>
  <c r="E48" i="7"/>
  <c r="N13" i="6"/>
  <c r="N19" i="6"/>
  <c r="N24" i="6"/>
  <c r="N25" i="6"/>
  <c r="N26" i="6"/>
  <c r="F11" i="7"/>
  <c r="C22" i="7"/>
  <c r="C25" i="7"/>
  <c r="E6" i="6"/>
  <c r="D6" i="6"/>
  <c r="F27" i="3"/>
  <c r="L10" i="2"/>
  <c r="P44" i="7"/>
  <c r="I22" i="7"/>
  <c r="I25" i="7"/>
  <c r="E15" i="7"/>
  <c r="C48" i="7"/>
  <c r="C49" i="7"/>
  <c r="I20" i="7"/>
  <c r="I23" i="7"/>
  <c r="N14" i="6"/>
  <c r="I21" i="7"/>
  <c r="I24" i="7"/>
  <c r="D4" i="7"/>
  <c r="C13" i="3"/>
  <c r="D13" i="3"/>
  <c r="F13" i="3"/>
  <c r="L18" i="7"/>
  <c r="L20" i="7"/>
  <c r="L19" i="7"/>
  <c r="L23" i="7"/>
  <c r="L21" i="7"/>
  <c r="L24" i="7"/>
  <c r="L22" i="7"/>
  <c r="L25" i="7"/>
  <c r="L26" i="7"/>
  <c r="L27" i="7"/>
  <c r="D6" i="3"/>
  <c r="E6" i="3"/>
  <c r="G11" i="2"/>
  <c r="G14" i="2"/>
  <c r="G13" i="2"/>
  <c r="G12" i="2"/>
  <c r="H13" i="2"/>
  <c r="H13" i="35"/>
  <c r="C13" i="36"/>
  <c r="D13" i="36"/>
  <c r="F13" i="36"/>
  <c r="C11" i="36"/>
  <c r="D11" i="36"/>
  <c r="F11" i="36"/>
  <c r="F21" i="36"/>
  <c r="D21" i="36"/>
  <c r="G21" i="36"/>
  <c r="G3" i="3"/>
  <c r="H3" i="3"/>
  <c r="D6" i="40"/>
  <c r="E6" i="40"/>
  <c r="N14" i="40"/>
  <c r="C52" i="40"/>
  <c r="C53" i="40"/>
  <c r="D53" i="40"/>
  <c r="C55" i="40"/>
  <c r="C54" i="40"/>
  <c r="D54" i="40"/>
  <c r="C56" i="40"/>
  <c r="C57" i="40"/>
  <c r="D57" i="40"/>
  <c r="C58" i="40"/>
  <c r="D58" i="40"/>
  <c r="C59" i="40"/>
  <c r="D59" i="40"/>
  <c r="C60" i="40"/>
  <c r="C61" i="40"/>
  <c r="C62" i="40"/>
  <c r="C51" i="40"/>
  <c r="C50" i="40"/>
  <c r="E39" i="40"/>
  <c r="J34" i="40"/>
  <c r="O33" i="40"/>
  <c r="O32" i="40"/>
  <c r="O27" i="40"/>
  <c r="O26" i="40"/>
  <c r="O25" i="40"/>
  <c r="O24" i="40"/>
  <c r="O23" i="40"/>
  <c r="O18" i="40"/>
  <c r="O17" i="40"/>
  <c r="O16" i="40"/>
  <c r="O14" i="40"/>
  <c r="O13" i="40"/>
  <c r="O12" i="40"/>
  <c r="G3" i="36"/>
  <c r="H3" i="36"/>
  <c r="F3" i="36"/>
  <c r="B6" i="36"/>
  <c r="C27" i="36"/>
  <c r="D27" i="36"/>
  <c r="C6" i="36"/>
  <c r="E27" i="36"/>
  <c r="G27" i="36"/>
  <c r="F27" i="36"/>
  <c r="H24" i="36"/>
  <c r="C24" i="36"/>
  <c r="C15" i="36"/>
  <c r="D15" i="36"/>
  <c r="F15" i="36"/>
  <c r="C14" i="36"/>
  <c r="D14" i="36"/>
  <c r="F14" i="36"/>
  <c r="D6" i="36"/>
  <c r="E6" i="36"/>
  <c r="C42" i="35"/>
  <c r="G14" i="35"/>
  <c r="G13" i="35"/>
  <c r="G12" i="35"/>
  <c r="G11" i="35"/>
  <c r="L10" i="35"/>
  <c r="J34" i="6"/>
  <c r="E39" i="6"/>
  <c r="C14" i="3"/>
  <c r="D14" i="3"/>
  <c r="F14" i="3"/>
  <c r="C15" i="3"/>
  <c r="D15" i="3"/>
  <c r="F15" i="3"/>
  <c r="C42" i="2"/>
  <c r="O12" i="6"/>
  <c r="O23" i="6"/>
  <c r="O19" i="6"/>
  <c r="O24" i="6"/>
  <c r="O14" i="6"/>
  <c r="O18" i="6"/>
  <c r="O26" i="6"/>
  <c r="O17" i="6"/>
  <c r="O25" i="6"/>
  <c r="O27" i="6"/>
  <c r="O16" i="6"/>
  <c r="O13" i="6"/>
  <c r="O32" i="6"/>
  <c r="O33" i="6"/>
  <c r="G42" i="2"/>
  <c r="G42" i="35"/>
  <c r="L10" i="42"/>
  <c r="G11" i="42"/>
  <c r="G12" i="42"/>
  <c r="G13" i="42"/>
  <c r="G14" i="42"/>
  <c r="E42" i="42"/>
  <c r="G42" i="42"/>
  <c r="G3" i="44"/>
  <c r="H3" i="44"/>
  <c r="F3" i="44"/>
  <c r="B6" i="44"/>
  <c r="C6" i="44"/>
  <c r="D6" i="44"/>
  <c r="E6" i="44"/>
  <c r="C14" i="44"/>
  <c r="D14" i="44"/>
  <c r="F14" i="44"/>
  <c r="C15" i="44"/>
  <c r="D15" i="44"/>
  <c r="F15" i="44"/>
  <c r="C24" i="44"/>
  <c r="D27" i="44"/>
  <c r="C27" i="44"/>
  <c r="E27" i="44"/>
  <c r="H24" i="44"/>
  <c r="F27" i="44"/>
  <c r="G27" i="44"/>
  <c r="O12" i="45"/>
  <c r="O13" i="45"/>
  <c r="O14" i="45"/>
  <c r="O16" i="45"/>
  <c r="O17" i="45"/>
  <c r="O18" i="45"/>
  <c r="O23" i="45"/>
  <c r="O24" i="45"/>
  <c r="O25" i="45"/>
  <c r="O26" i="45"/>
  <c r="O27" i="45"/>
  <c r="O32" i="45"/>
  <c r="J33" i="45"/>
  <c r="O33" i="45"/>
  <c r="J34" i="45"/>
  <c r="E39" i="45"/>
  <c r="C50" i="45"/>
  <c r="C51" i="45"/>
</calcChain>
</file>

<file path=xl/sharedStrings.xml><?xml version="1.0" encoding="utf-8"?>
<sst xmlns="http://schemas.openxmlformats.org/spreadsheetml/2006/main" count="1069" uniqueCount="178">
  <si>
    <t>t</t>
  </si>
  <si>
    <t>k</t>
  </si>
  <si>
    <t>E (N/mm²)</t>
  </si>
  <si>
    <t>ρ</t>
  </si>
  <si>
    <t>be1=be2</t>
  </si>
  <si>
    <t>Elément</t>
  </si>
  <si>
    <t>total</t>
  </si>
  <si>
    <t>z</t>
  </si>
  <si>
    <t>h</t>
  </si>
  <si>
    <t>Calcul de la position de l'axe neutre de la section</t>
  </si>
  <si>
    <t>λ</t>
  </si>
  <si>
    <t>χ</t>
  </si>
  <si>
    <t>I/t</t>
  </si>
  <si>
    <t>M</t>
  </si>
  <si>
    <t>Element</t>
  </si>
  <si>
    <t>Coordonnées</t>
  </si>
  <si>
    <t>zcg</t>
  </si>
  <si>
    <t>partie extérieure</t>
  </si>
  <si>
    <r>
      <t>θ</t>
    </r>
    <r>
      <rPr>
        <vertAlign val="subscript"/>
        <sz val="11"/>
        <color theme="1"/>
        <rFont val="Times New Roman"/>
        <family val="1"/>
      </rPr>
      <t>1</t>
    </r>
  </si>
  <si>
    <r>
      <t>θ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Calibri"/>
        <family val="2"/>
        <scheme val="minor"/>
      </rPr>
      <t/>
    </r>
  </si>
  <si>
    <r>
      <t>f</t>
    </r>
    <r>
      <rPr>
        <vertAlign val="subscript"/>
        <sz val="11"/>
        <color theme="1"/>
        <rFont val="Times New Roman"/>
        <family val="1"/>
      </rPr>
      <t xml:space="preserve">yb </t>
    </r>
    <r>
      <rPr>
        <sz val="11"/>
        <color theme="1"/>
        <rFont val="Times New Roman"/>
        <family val="1"/>
      </rPr>
      <t>(N/mm²)</t>
    </r>
  </si>
  <si>
    <r>
      <t>b</t>
    </r>
    <r>
      <rPr>
        <vertAlign val="subscript"/>
        <sz val="11"/>
        <color theme="1"/>
        <rFont val="Times New Roman"/>
        <family val="1"/>
      </rPr>
      <t>p</t>
    </r>
  </si>
  <si>
    <r>
      <t>λ</t>
    </r>
    <r>
      <rPr>
        <vertAlign val="subscript"/>
        <sz val="11"/>
        <color theme="1"/>
        <rFont val="Times New Roman"/>
        <family val="1"/>
      </rPr>
      <t>p</t>
    </r>
  </si>
  <si>
    <r>
      <t>b</t>
    </r>
    <r>
      <rPr>
        <vertAlign val="sub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>=ρ*b</t>
    </r>
    <r>
      <rPr>
        <vertAlign val="subscript"/>
        <sz val="11"/>
        <color theme="1"/>
        <rFont val="Times New Roman"/>
        <family val="1"/>
      </rPr>
      <t>p</t>
    </r>
  </si>
  <si>
    <r>
      <t>b</t>
    </r>
    <r>
      <rPr>
        <vertAlign val="subscript"/>
        <sz val="11"/>
        <color theme="1"/>
        <rFont val="Times New Roman"/>
        <family val="1"/>
      </rPr>
      <t>s</t>
    </r>
  </si>
  <si>
    <r>
      <t>h</t>
    </r>
    <r>
      <rPr>
        <vertAlign val="subscript"/>
        <sz val="11"/>
        <color theme="1"/>
        <rFont val="Times New Roman"/>
        <family val="1"/>
      </rPr>
      <t>w</t>
    </r>
  </si>
  <si>
    <r>
      <t>s</t>
    </r>
    <r>
      <rPr>
        <vertAlign val="subscript"/>
        <sz val="11"/>
        <color theme="1"/>
        <rFont val="Times New Roman"/>
        <family val="1"/>
      </rPr>
      <t>w</t>
    </r>
  </si>
  <si>
    <r>
      <t>l</t>
    </r>
    <r>
      <rPr>
        <vertAlign val="subscript"/>
        <sz val="11"/>
        <color theme="1"/>
        <rFont val="Times New Roman"/>
        <family val="1"/>
      </rPr>
      <t>b</t>
    </r>
  </si>
  <si>
    <r>
      <t>l</t>
    </r>
    <r>
      <rPr>
        <vertAlign val="sub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>/s</t>
    </r>
    <r>
      <rPr>
        <vertAlign val="subscript"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&gt;2</t>
    </r>
  </si>
  <si>
    <r>
      <t>k</t>
    </r>
    <r>
      <rPr>
        <vertAlign val="subscript"/>
        <sz val="11"/>
        <color theme="1"/>
        <rFont val="Times New Roman"/>
        <family val="1"/>
      </rPr>
      <t>w</t>
    </r>
  </si>
  <si>
    <r>
      <t>s</t>
    </r>
    <r>
      <rPr>
        <vertAlign val="subscript"/>
        <sz val="11"/>
        <color theme="1"/>
        <rFont val="Times New Roman"/>
        <family val="1"/>
      </rPr>
      <t>eff,0</t>
    </r>
  </si>
  <si>
    <r>
      <t>s</t>
    </r>
    <r>
      <rPr>
        <vertAlign val="subscript"/>
        <sz val="11"/>
        <color theme="1"/>
        <rFont val="Times New Roman"/>
        <family val="1"/>
      </rPr>
      <t>eff,1</t>
    </r>
  </si>
  <si>
    <r>
      <t>e</t>
    </r>
    <r>
      <rPr>
        <vertAlign val="subscript"/>
        <sz val="11"/>
        <color theme="1"/>
        <rFont val="Times New Roman"/>
        <family val="1"/>
      </rPr>
      <t>c</t>
    </r>
  </si>
  <si>
    <r>
      <t>s</t>
    </r>
    <r>
      <rPr>
        <vertAlign val="subscript"/>
        <sz val="11"/>
        <color theme="1"/>
        <rFont val="Times New Roman"/>
        <family val="1"/>
      </rPr>
      <t>n</t>
    </r>
  </si>
  <si>
    <t>y</t>
  </si>
  <si>
    <r>
      <t>I</t>
    </r>
    <r>
      <rPr>
        <vertAlign val="subscript"/>
        <sz val="11"/>
        <color theme="1"/>
        <rFont val="Times New Roman"/>
        <family val="1"/>
      </rPr>
      <t>1</t>
    </r>
  </si>
  <si>
    <r>
      <t>I</t>
    </r>
    <r>
      <rPr>
        <vertAlign val="subscript"/>
        <sz val="11"/>
        <color theme="1"/>
        <rFont val="Times New Roman"/>
        <family val="1"/>
      </rPr>
      <t>2</t>
    </r>
  </si>
  <si>
    <r>
      <t>I</t>
    </r>
    <r>
      <rPr>
        <vertAlign val="subscript"/>
        <sz val="11"/>
        <color theme="1"/>
        <rFont val="Times New Roman"/>
        <family val="1"/>
      </rPr>
      <t>3</t>
    </r>
  </si>
  <si>
    <r>
      <t>I</t>
    </r>
    <r>
      <rPr>
        <vertAlign val="subscript"/>
        <sz val="11"/>
        <color theme="1"/>
        <rFont val="Times New Roman"/>
        <family val="1"/>
      </rPr>
      <t>4</t>
    </r>
  </si>
  <si>
    <r>
      <t>I</t>
    </r>
    <r>
      <rPr>
        <vertAlign val="subscript"/>
        <sz val="11"/>
        <color theme="1"/>
        <rFont val="Times New Roman"/>
        <family val="1"/>
      </rPr>
      <t>5</t>
    </r>
  </si>
  <si>
    <r>
      <t>I</t>
    </r>
    <r>
      <rPr>
        <vertAlign val="subscript"/>
        <sz val="11"/>
        <color theme="1"/>
        <rFont val="Times New Roman"/>
        <family val="1"/>
      </rPr>
      <t>6</t>
    </r>
  </si>
  <si>
    <r>
      <t>I</t>
    </r>
    <r>
      <rPr>
        <vertAlign val="subscript"/>
        <sz val="11"/>
        <color theme="1"/>
        <rFont val="Times New Roman"/>
        <family val="1"/>
      </rPr>
      <t>7</t>
    </r>
  </si>
  <si>
    <r>
      <t>L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*t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/12+A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*z0²</t>
    </r>
  </si>
  <si>
    <r>
      <t>L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*t*h²/12+A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*z0²</t>
    </r>
  </si>
  <si>
    <r>
      <t>L</t>
    </r>
    <r>
      <rPr>
        <vertAlign val="subscript"/>
        <sz val="11"/>
        <color theme="1"/>
        <rFont val="Times New Roman"/>
        <family val="1"/>
      </rPr>
      <t xml:space="preserve">i </t>
    </r>
    <r>
      <rPr>
        <sz val="11"/>
        <color theme="1"/>
        <rFont val="Times New Roman"/>
        <family val="1"/>
      </rPr>
      <t>(mm)</t>
    </r>
  </si>
  <si>
    <t>z(mm)</t>
  </si>
  <si>
    <t>z0(mm)</t>
  </si>
  <si>
    <r>
      <t>A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(mm²)</t>
    </r>
  </si>
  <si>
    <r>
      <t>S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)</t>
    </r>
  </si>
  <si>
    <r>
      <t>I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</t>
    </r>
    <r>
      <rPr>
        <vertAlign val="super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)</t>
    </r>
  </si>
  <si>
    <r>
      <t>σ</t>
    </r>
    <r>
      <rPr>
        <vertAlign val="subscript"/>
        <sz val="11"/>
        <color theme="1"/>
        <rFont val="Times New Roman"/>
        <family val="1"/>
      </rPr>
      <t>cr,s</t>
    </r>
    <r>
      <rPr>
        <sz val="11"/>
        <color theme="1"/>
        <rFont val="Times New Roman"/>
        <family val="1"/>
      </rPr>
      <t>(N/mm²)</t>
    </r>
  </si>
  <si>
    <r>
      <t>t</t>
    </r>
    <r>
      <rPr>
        <vertAlign val="subscript"/>
        <sz val="11"/>
        <color theme="1"/>
        <rFont val="Times New Roman"/>
        <family val="1"/>
      </rPr>
      <t>eff</t>
    </r>
  </si>
  <si>
    <t>lz</t>
  </si>
  <si>
    <t>ly</t>
  </si>
  <si>
    <r>
      <t>l</t>
    </r>
    <r>
      <rPr>
        <vertAlign val="subscript"/>
        <sz val="11"/>
        <color theme="1"/>
        <rFont val="Times New Roman"/>
        <family val="1"/>
      </rPr>
      <t>i</t>
    </r>
  </si>
  <si>
    <t>w</t>
  </si>
  <si>
    <r>
      <t>t</t>
    </r>
    <r>
      <rPr>
        <vertAlign val="subscript"/>
        <sz val="11"/>
        <color theme="1"/>
        <rFont val="Times New Roman"/>
        <family val="1"/>
      </rPr>
      <t>réd</t>
    </r>
  </si>
  <si>
    <t>sw</t>
  </si>
  <si>
    <t>bpt</t>
  </si>
  <si>
    <t>bpb</t>
  </si>
  <si>
    <t>bflt</t>
  </si>
  <si>
    <t>bflb</t>
  </si>
  <si>
    <t>sflw</t>
  </si>
  <si>
    <t>SCHEMA</t>
  </si>
  <si>
    <r>
      <t>g</t>
    </r>
    <r>
      <rPr>
        <sz val="11"/>
        <color theme="1"/>
        <rFont val="Calibri"/>
        <family val="2"/>
      </rPr>
      <t>θ1</t>
    </r>
  </si>
  <si>
    <t>fθ1</t>
  </si>
  <si>
    <t>lcθ1</t>
  </si>
  <si>
    <t>Ccθ1</t>
  </si>
  <si>
    <t>fθ3</t>
  </si>
  <si>
    <r>
      <t>g</t>
    </r>
    <r>
      <rPr>
        <sz val="11"/>
        <color theme="1"/>
        <rFont val="Calibri"/>
        <family val="2"/>
      </rPr>
      <t>θ3</t>
    </r>
  </si>
  <si>
    <t>lcθ3</t>
  </si>
  <si>
    <t>Ccθ3</t>
  </si>
  <si>
    <r>
      <t>g2</t>
    </r>
    <r>
      <rPr>
        <sz val="11"/>
        <color theme="1"/>
        <rFont val="Calibri"/>
        <family val="2"/>
      </rPr>
      <t>θ3</t>
    </r>
  </si>
  <si>
    <t>f2θ3</t>
  </si>
  <si>
    <t>lc2θ3</t>
  </si>
  <si>
    <t>Cc2θ3</t>
  </si>
  <si>
    <t>ε</t>
  </si>
  <si>
    <r>
      <t>λ</t>
    </r>
    <r>
      <rPr>
        <vertAlign val="subscript"/>
        <sz val="11"/>
        <color theme="1"/>
        <rFont val="Times New Roman"/>
        <family val="1"/>
      </rPr>
      <t>pred</t>
    </r>
  </si>
  <si>
    <r>
      <t>σ</t>
    </r>
    <r>
      <rPr>
        <vertAlign val="subscript"/>
        <sz val="11"/>
        <color rgb="FFFF0000"/>
        <rFont val="Times New Roman"/>
        <family val="1"/>
      </rPr>
      <t>com</t>
    </r>
  </si>
  <si>
    <r>
      <rPr>
        <sz val="11"/>
        <rFont val="Calibri"/>
        <family val="2"/>
      </rPr>
      <t>γ</t>
    </r>
    <r>
      <rPr>
        <vertAlign val="subscript"/>
        <sz val="11"/>
        <rFont val="Times New Roman"/>
        <family val="1"/>
      </rPr>
      <t>M0</t>
    </r>
  </si>
  <si>
    <r>
      <rPr>
        <sz val="11"/>
        <color theme="1"/>
        <rFont val="Times New Roman"/>
        <family val="1"/>
      </rPr>
      <t>ψ</t>
    </r>
    <r>
      <rPr>
        <sz val="11"/>
        <color theme="1"/>
        <rFont val="Calibri"/>
        <family val="2"/>
      </rPr>
      <t>=</t>
    </r>
    <r>
      <rPr>
        <sz val="11"/>
        <color theme="1"/>
        <rFont val="Times New Roman"/>
        <family val="1"/>
      </rPr>
      <t>σ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/σ</t>
    </r>
    <r>
      <rPr>
        <vertAlign val="subscript"/>
        <sz val="11"/>
        <color theme="1"/>
        <rFont val="Times New Roman"/>
        <family val="1"/>
      </rPr>
      <t>1</t>
    </r>
  </si>
  <si>
    <t>1/2 (1eff)</t>
  </si>
  <si>
    <t>1/2 (7eff)</t>
  </si>
  <si>
    <t>ec</t>
  </si>
  <si>
    <r>
      <t>h</t>
    </r>
    <r>
      <rPr>
        <strike/>
        <vertAlign val="subscript"/>
        <sz val="11"/>
        <color theme="1"/>
        <rFont val="Times New Roman"/>
        <family val="1"/>
      </rPr>
      <t>a</t>
    </r>
  </si>
  <si>
    <r>
      <t>s</t>
    </r>
    <r>
      <rPr>
        <strike/>
        <vertAlign val="subscript"/>
        <sz val="11"/>
        <color theme="1"/>
        <rFont val="Times New Roman"/>
        <family val="1"/>
      </rPr>
      <t>eff,2</t>
    </r>
  </si>
  <si>
    <r>
      <t>s</t>
    </r>
    <r>
      <rPr>
        <strike/>
        <vertAlign val="subscript"/>
        <sz val="11"/>
        <color theme="1"/>
        <rFont val="Times New Roman"/>
        <family val="1"/>
      </rPr>
      <t>eff,n</t>
    </r>
  </si>
  <si>
    <r>
      <t>h</t>
    </r>
    <r>
      <rPr>
        <strike/>
        <vertAlign val="subscript"/>
        <sz val="11"/>
        <color theme="1"/>
        <rFont val="Times New Roman"/>
        <family val="1"/>
      </rPr>
      <t>sa</t>
    </r>
  </si>
  <si>
    <r>
      <t>s</t>
    </r>
    <r>
      <rPr>
        <strike/>
        <vertAlign val="subscript"/>
        <sz val="11"/>
        <color theme="1"/>
        <rFont val="Times New Roman"/>
        <family val="1"/>
      </rPr>
      <t>eff,3</t>
    </r>
  </si>
  <si>
    <r>
      <t>s</t>
    </r>
    <r>
      <rPr>
        <strike/>
        <vertAlign val="subscript"/>
        <sz val="11"/>
        <color theme="1"/>
        <rFont val="Times New Roman"/>
        <family val="1"/>
      </rPr>
      <t>n</t>
    </r>
  </si>
  <si>
    <r>
      <t>s</t>
    </r>
    <r>
      <rPr>
        <strike/>
        <vertAlign val="subscript"/>
        <sz val="11"/>
        <color theme="1"/>
        <rFont val="Times New Roman"/>
        <family val="1"/>
      </rPr>
      <t>eff,3</t>
    </r>
    <r>
      <rPr>
        <strike/>
        <sz val="11"/>
        <color theme="1"/>
        <rFont val="Times New Roman"/>
        <family val="1"/>
      </rPr>
      <t xml:space="preserve"> + s</t>
    </r>
    <r>
      <rPr>
        <strike/>
        <vertAlign val="subscript"/>
        <sz val="11"/>
        <color theme="1"/>
        <rFont val="Times New Roman"/>
        <family val="1"/>
      </rPr>
      <t>eff,n</t>
    </r>
  </si>
  <si>
    <r>
      <t>s</t>
    </r>
    <r>
      <rPr>
        <strike/>
        <vertAlign val="subscript"/>
        <sz val="11"/>
        <color theme="1"/>
        <rFont val="Times New Roman"/>
        <family val="1"/>
      </rPr>
      <t>eff,1</t>
    </r>
  </si>
  <si>
    <r>
      <t>s</t>
    </r>
    <r>
      <rPr>
        <strike/>
        <vertAlign val="subscript"/>
        <sz val="11"/>
        <color theme="1"/>
        <rFont val="Times New Roman"/>
        <family val="1"/>
      </rPr>
      <t>eff,0</t>
    </r>
  </si>
  <si>
    <t>1/2 onde</t>
  </si>
  <si>
    <t>entre axe(mm)</t>
  </si>
  <si>
    <t>onde</t>
  </si>
  <si>
    <t>mm3/mm</t>
  </si>
  <si>
    <t>Nmm/mm</t>
  </si>
  <si>
    <t>kNm/m</t>
  </si>
  <si>
    <r>
      <t>θ</t>
    </r>
    <r>
      <rPr>
        <vertAlign val="subscript"/>
        <sz val="11"/>
        <color theme="1"/>
        <rFont val="Times New Roman"/>
        <family val="1"/>
      </rPr>
      <t>1d</t>
    </r>
  </si>
  <si>
    <t>hw</t>
  </si>
  <si>
    <r>
      <t>L</t>
    </r>
    <r>
      <rPr>
        <vertAlign val="subscript"/>
        <sz val="11"/>
        <color theme="1"/>
        <rFont val="Times New Roman"/>
        <family val="1"/>
      </rPr>
      <t>5</t>
    </r>
    <r>
      <rPr>
        <sz val="11"/>
        <color theme="1"/>
        <rFont val="Times New Roman"/>
        <family val="1"/>
      </rPr>
      <t>*t*h²/12+A</t>
    </r>
    <r>
      <rPr>
        <vertAlign val="subscript"/>
        <sz val="11"/>
        <color theme="1"/>
        <rFont val="Times New Roman"/>
        <family val="1"/>
      </rPr>
      <t>5</t>
    </r>
    <r>
      <rPr>
        <sz val="11"/>
        <color theme="1"/>
        <rFont val="Times New Roman"/>
        <family val="1"/>
      </rPr>
      <t>*z0²</t>
    </r>
  </si>
  <si>
    <r>
      <t>L</t>
    </r>
    <r>
      <rPr>
        <vertAlign val="subscript"/>
        <sz val="11"/>
        <color theme="1"/>
        <rFont val="Times New Roman"/>
        <family val="1"/>
      </rPr>
      <t>7</t>
    </r>
    <r>
      <rPr>
        <sz val="11"/>
        <color theme="1"/>
        <rFont val="Times New Roman"/>
        <family val="1"/>
      </rPr>
      <t>*t*h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/12+A</t>
    </r>
    <r>
      <rPr>
        <vertAlign val="subscript"/>
        <sz val="11"/>
        <color theme="1"/>
        <rFont val="Times New Roman"/>
        <family val="1"/>
      </rPr>
      <t>7</t>
    </r>
    <r>
      <rPr>
        <sz val="11"/>
        <color theme="1"/>
        <rFont val="Times New Roman"/>
        <family val="1"/>
      </rPr>
      <t>*z0²</t>
    </r>
  </si>
  <si>
    <t>partie plane</t>
  </si>
  <si>
    <t>θ1</t>
  </si>
  <si>
    <t>θ3</t>
  </si>
  <si>
    <t>2θ3</t>
  </si>
  <si>
    <r>
      <t>k</t>
    </r>
    <r>
      <rPr>
        <vertAlign val="subscript"/>
        <sz val="11"/>
        <color theme="1"/>
        <rFont val="Times New Roman"/>
        <family val="1"/>
      </rPr>
      <t>w0</t>
    </r>
  </si>
  <si>
    <t>λ&lt;0,65</t>
  </si>
  <si>
    <t>λ&gt;1,38</t>
  </si>
  <si>
    <t>parasteel</t>
  </si>
  <si>
    <r>
      <t>b</t>
    </r>
    <r>
      <rPr>
        <vertAlign val="subscript"/>
        <sz val="11"/>
        <color theme="1"/>
        <rFont val="Times New Roman"/>
        <family val="1"/>
      </rPr>
      <t>d</t>
    </r>
  </si>
  <si>
    <r>
      <t>s</t>
    </r>
    <r>
      <rPr>
        <vertAlign val="subscript"/>
        <sz val="11"/>
        <color theme="1"/>
        <rFont val="Times New Roman"/>
        <family val="1"/>
      </rPr>
      <t>eff,n</t>
    </r>
  </si>
  <si>
    <r>
      <t>s</t>
    </r>
    <r>
      <rPr>
        <vertAlign val="subscript"/>
        <sz val="11"/>
        <color theme="1"/>
        <rFont val="Times New Roman"/>
        <family val="1"/>
      </rPr>
      <t>eff,1</t>
    </r>
    <r>
      <rPr>
        <sz val="11"/>
        <color theme="1"/>
        <rFont val="Times New Roman"/>
        <family val="1"/>
      </rPr>
      <t xml:space="preserve"> + s</t>
    </r>
    <r>
      <rPr>
        <vertAlign val="subscript"/>
        <sz val="11"/>
        <color theme="1"/>
        <rFont val="Times New Roman"/>
        <family val="1"/>
      </rPr>
      <t>eff,n</t>
    </r>
  </si>
  <si>
    <t>&gt;sn</t>
  </si>
  <si>
    <t>pour 1/2 onde</t>
  </si>
  <si>
    <r>
      <t>l</t>
    </r>
    <r>
      <rPr>
        <vertAlign val="subscript"/>
        <sz val="11"/>
        <rFont val="Times New Roman"/>
        <family val="1"/>
      </rPr>
      <t>i</t>
    </r>
  </si>
  <si>
    <t>Pour PCB80 ame complétement efficace</t>
  </si>
  <si>
    <t>rSs</t>
  </si>
  <si>
    <t>es01</t>
  </si>
  <si>
    <r>
      <t>g</t>
    </r>
    <r>
      <rPr>
        <sz val="11"/>
        <color theme="1"/>
        <rFont val="Calibri"/>
        <family val="2"/>
      </rPr>
      <t>θ1sup</t>
    </r>
  </si>
  <si>
    <t>fθ1sup</t>
  </si>
  <si>
    <t>lcθ1sup</t>
  </si>
  <si>
    <t>Ccθ1sup</t>
  </si>
  <si>
    <t>θ2</t>
  </si>
  <si>
    <r>
      <t>g</t>
    </r>
    <r>
      <rPr>
        <sz val="11"/>
        <color theme="1"/>
        <rFont val="Calibri"/>
        <family val="2"/>
      </rPr>
      <t>θ2</t>
    </r>
  </si>
  <si>
    <t>fθ2</t>
  </si>
  <si>
    <t>lcθ2</t>
  </si>
  <si>
    <t>Ccθ2</t>
  </si>
  <si>
    <t>trou du au bossage</t>
  </si>
  <si>
    <t>mm^4/m</t>
  </si>
  <si>
    <t>mm4/m</t>
  </si>
  <si>
    <t>cm4/m</t>
  </si>
  <si>
    <r>
      <t>h</t>
    </r>
    <r>
      <rPr>
        <vertAlign val="subscript"/>
        <sz val="11"/>
        <color theme="1"/>
        <rFont val="Times New Roman"/>
        <family val="1"/>
      </rPr>
      <t>a</t>
    </r>
  </si>
  <si>
    <r>
      <t>s</t>
    </r>
    <r>
      <rPr>
        <vertAlign val="subscript"/>
        <sz val="11"/>
        <color theme="1"/>
        <rFont val="Times New Roman"/>
        <family val="1"/>
      </rPr>
      <t>eff,2</t>
    </r>
  </si>
  <si>
    <r>
      <t>h</t>
    </r>
    <r>
      <rPr>
        <vertAlign val="subscript"/>
        <sz val="11"/>
        <color theme="1"/>
        <rFont val="Times New Roman"/>
        <family val="1"/>
      </rPr>
      <t>sa</t>
    </r>
  </si>
  <si>
    <r>
      <t>s</t>
    </r>
    <r>
      <rPr>
        <vertAlign val="subscript"/>
        <sz val="11"/>
        <color theme="1"/>
        <rFont val="Times New Roman"/>
        <family val="1"/>
      </rPr>
      <t>eff,3</t>
    </r>
  </si>
  <si>
    <r>
      <t>s</t>
    </r>
    <r>
      <rPr>
        <vertAlign val="subscript"/>
        <sz val="11"/>
        <color theme="1"/>
        <rFont val="Times New Roman"/>
        <family val="1"/>
      </rPr>
      <t>eff,3</t>
    </r>
    <r>
      <rPr>
        <sz val="11"/>
        <color theme="1"/>
        <rFont val="Times New Roman"/>
        <family val="1"/>
      </rPr>
      <t xml:space="preserve"> + s</t>
    </r>
    <r>
      <rPr>
        <vertAlign val="subscript"/>
        <sz val="11"/>
        <color theme="1"/>
        <rFont val="Times New Roman"/>
        <family val="1"/>
      </rPr>
      <t>eff,n</t>
    </r>
  </si>
  <si>
    <t>partie intérieure</t>
  </si>
  <si>
    <t>be1</t>
  </si>
  <si>
    <t>be2</t>
  </si>
  <si>
    <t>rr</t>
  </si>
  <si>
    <t>fyb/γM0/σcom</t>
  </si>
  <si>
    <t>Dovetail depth</t>
  </si>
  <si>
    <t>coeff ro</t>
  </si>
  <si>
    <t>hauteur boss</t>
  </si>
  <si>
    <t>à</t>
  </si>
  <si>
    <t>web embossments</t>
  </si>
  <si>
    <t>dn</t>
  </si>
  <si>
    <t>z up</t>
  </si>
  <si>
    <t>embossment</t>
  </si>
  <si>
    <t>FILL RED CELLS</t>
  </si>
  <si>
    <t>R1 (mm)</t>
  </si>
  <si>
    <r>
      <t>R2</t>
    </r>
    <r>
      <rPr>
        <vertAlign val="subscript"/>
        <sz val="11"/>
        <color theme="1"/>
        <rFont val="Times New Roman"/>
        <family val="1"/>
      </rPr>
      <t xml:space="preserve">sup </t>
    </r>
    <r>
      <rPr>
        <sz val="11"/>
        <color theme="1"/>
        <rFont val="Times New Roman"/>
        <family val="1"/>
      </rPr>
      <t>(mm)</t>
    </r>
  </si>
  <si>
    <r>
      <t>R2</t>
    </r>
    <r>
      <rPr>
        <vertAlign val="subscript"/>
        <sz val="11"/>
        <color theme="1"/>
        <rFont val="Times New Roman"/>
        <family val="1"/>
      </rPr>
      <t xml:space="preserve">inf </t>
    </r>
    <r>
      <rPr>
        <sz val="11"/>
        <color theme="1"/>
        <rFont val="Times New Roman"/>
        <family val="1"/>
      </rPr>
      <t>(mm)</t>
    </r>
  </si>
  <si>
    <t>Pitch (mm)</t>
  </si>
  <si>
    <t>hw (mm)</t>
  </si>
  <si>
    <t>b/t=</t>
  </si>
  <si>
    <r>
      <t>θ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=</t>
    </r>
  </si>
  <si>
    <t>h/t=</t>
  </si>
  <si>
    <t>500sin(θ2)=</t>
  </si>
  <si>
    <t>r &lt;</t>
  </si>
  <si>
    <r>
      <t xml:space="preserve">0,04 </t>
    </r>
    <r>
      <rPr>
        <i/>
        <sz val="12"/>
        <color theme="1"/>
        <rFont val="Times New Roman"/>
      </rPr>
      <t>t</t>
    </r>
    <r>
      <rPr>
        <sz val="12"/>
        <color theme="1"/>
        <rFont val="Times New Roman"/>
      </rPr>
      <t xml:space="preserve"> </t>
    </r>
    <r>
      <rPr>
        <i/>
        <sz val="12"/>
        <color theme="1"/>
        <rFont val="Times New Roman"/>
      </rPr>
      <t>E</t>
    </r>
    <r>
      <rPr>
        <sz val="12"/>
        <color theme="1"/>
        <rFont val="Times New Roman"/>
      </rPr>
      <t xml:space="preserve"> / </t>
    </r>
    <r>
      <rPr>
        <i/>
        <sz val="12"/>
        <color theme="1"/>
        <rFont val="Times New Roman"/>
      </rPr>
      <t>f</t>
    </r>
    <r>
      <rPr>
        <vertAlign val="subscript"/>
        <sz val="12"/>
        <color theme="1"/>
        <rFont val="Times New Roman"/>
      </rPr>
      <t xml:space="preserve">y </t>
    </r>
  </si>
  <si>
    <r>
      <t>t</t>
    </r>
    <r>
      <rPr>
        <vertAlign val="subscript"/>
        <sz val="11"/>
        <color theme="1"/>
        <rFont val="Times New Roman"/>
        <family val="1"/>
      </rPr>
      <t>nom</t>
    </r>
    <r>
      <rPr>
        <sz val="11"/>
        <color theme="1"/>
        <rFont val="Times New Roman"/>
        <family val="1"/>
      </rPr>
      <t xml:space="preserve"> (mm)</t>
    </r>
  </si>
  <si>
    <t>t (mm)</t>
  </si>
  <si>
    <r>
      <t>l</t>
    </r>
    <r>
      <rPr>
        <vertAlign val="subscript"/>
        <sz val="11"/>
        <rFont val="Times New Roman"/>
        <family val="1"/>
      </rPr>
      <t xml:space="preserve">i </t>
    </r>
    <r>
      <rPr>
        <sz val="11"/>
        <rFont val="Times New Roman"/>
        <family val="1"/>
      </rPr>
      <t>(mm)</t>
    </r>
  </si>
  <si>
    <r>
      <t>l</t>
    </r>
    <r>
      <rPr>
        <vertAlign val="subscript"/>
        <sz val="12"/>
        <color theme="1"/>
        <rFont val="Times New Roman"/>
      </rPr>
      <t>iz</t>
    </r>
    <r>
      <rPr>
        <sz val="12"/>
        <color theme="1"/>
        <rFont val="Times New Roman"/>
      </rPr>
      <t xml:space="preserve"> (mm)</t>
    </r>
  </si>
  <si>
    <r>
      <t>l</t>
    </r>
    <r>
      <rPr>
        <vertAlign val="subscript"/>
        <sz val="12"/>
        <color theme="1"/>
        <rFont val="Times New Roman"/>
      </rPr>
      <t>iy</t>
    </r>
    <r>
      <rPr>
        <sz val="12"/>
        <color theme="1"/>
        <rFont val="Times New Roman"/>
      </rPr>
      <t xml:space="preserve"> (mm)</t>
    </r>
  </si>
  <si>
    <t>Rinf</t>
  </si>
  <si>
    <t>tnom</t>
  </si>
  <si>
    <t>1) DATA</t>
  </si>
  <si>
    <t>2) Checking of geometrical proportions</t>
  </si>
  <si>
    <r>
      <t>M</t>
    </r>
    <r>
      <rPr>
        <b/>
        <vertAlign val="subscript"/>
        <sz val="14"/>
        <color theme="1"/>
        <rFont val="Calibri"/>
        <family val="2"/>
        <scheme val="minor"/>
      </rPr>
      <t>span</t>
    </r>
    <r>
      <rPr>
        <b/>
        <sz val="14"/>
        <color theme="1"/>
        <rFont val="Calibri"/>
        <family val="2"/>
        <scheme val="minor"/>
      </rPr>
      <t>=</t>
    </r>
  </si>
  <si>
    <r>
      <t>θ</t>
    </r>
    <r>
      <rPr>
        <vertAlign val="subscript"/>
        <sz val="11"/>
        <color theme="0"/>
        <rFont val="Times New Roman"/>
        <family val="1"/>
      </rPr>
      <t>1</t>
    </r>
  </si>
  <si>
    <r>
      <t>θ</t>
    </r>
    <r>
      <rPr>
        <vertAlign val="subscript"/>
        <sz val="11"/>
        <color theme="0"/>
        <rFont val="Times New Roman"/>
        <family val="1"/>
      </rPr>
      <t>2</t>
    </r>
  </si>
  <si>
    <r>
      <t>θ</t>
    </r>
    <r>
      <rPr>
        <vertAlign val="subscript"/>
        <sz val="11"/>
        <color theme="0"/>
        <rFont val="Times New Roman"/>
        <family val="1"/>
      </rPr>
      <t>3</t>
    </r>
    <r>
      <rPr>
        <sz val="11"/>
        <color theme="1"/>
        <rFont val="Calibri"/>
        <family val="2"/>
        <scheme val="minor"/>
      </rPr>
      <t/>
    </r>
  </si>
  <si>
    <t>3) RESULTS</t>
  </si>
  <si>
    <t>Pour C80 ame complétement efficace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</si>
</sst>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trike/>
      <sz val="11"/>
      <color theme="1"/>
      <name val="Calibri"/>
      <family val="2"/>
      <scheme val="minor"/>
    </font>
    <font>
      <vertAlign val="subscript"/>
      <sz val="11"/>
      <color rgb="FFFF0000"/>
      <name val="Times New Roman"/>
      <family val="1"/>
    </font>
    <font>
      <sz val="11"/>
      <name val="Calibri"/>
      <family val="2"/>
    </font>
    <font>
      <vertAlign val="subscript"/>
      <sz val="11"/>
      <name val="Times New Roman"/>
      <family val="1"/>
    </font>
    <font>
      <strike/>
      <sz val="11"/>
      <color theme="1"/>
      <name val="Times New Roman"/>
      <family val="1"/>
    </font>
    <font>
      <strike/>
      <vertAlign val="subscript"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trike/>
      <sz val="11"/>
      <color theme="1"/>
      <name val="Times New Roman"/>
      <family val="1"/>
    </font>
    <font>
      <strike/>
      <sz val="11"/>
      <color theme="0"/>
      <name val="Calibri"/>
      <family val="2"/>
      <scheme val="minor"/>
    </font>
    <font>
      <sz val="11"/>
      <color theme="0"/>
      <name val="Times New Roman"/>
      <family val="1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scheme val="minor"/>
    </font>
    <font>
      <sz val="11"/>
      <color theme="0" tint="-0.34998626667073579"/>
      <name val="Times New Roman"/>
      <family val="1"/>
    </font>
    <font>
      <sz val="11"/>
      <color theme="0" tint="-0.34998626667073579"/>
      <name val="Calibri"/>
      <family val="2"/>
      <scheme val="minor"/>
    </font>
    <font>
      <i/>
      <sz val="12"/>
      <color theme="1"/>
      <name val="Times New Roman"/>
    </font>
    <font>
      <sz val="12"/>
      <color theme="1"/>
      <name val="Times New Roman"/>
    </font>
    <font>
      <vertAlign val="subscript"/>
      <sz val="12"/>
      <color theme="1"/>
      <name val="Times New Roman"/>
    </font>
    <font>
      <b/>
      <sz val="16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Times New Roman"/>
    </font>
    <font>
      <vertAlign val="subscript"/>
      <sz val="11"/>
      <color theme="0"/>
      <name val="Times New Roman"/>
      <family val="1"/>
    </font>
    <font>
      <sz val="12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82">
    <xf numFmtId="0" fontId="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6" fillId="0" borderId="0"/>
  </cellStyleXfs>
  <cellXfs count="157">
    <xf numFmtId="0" fontId="0" fillId="0" borderId="0" xfId="0"/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/>
    <xf numFmtId="0" fontId="0" fillId="0" borderId="0" xfId="0" applyBorder="1" applyAlignment="1">
      <alignment horizontal="center"/>
    </xf>
    <xf numFmtId="2" fontId="0" fillId="0" borderId="0" xfId="0" applyNumberFormat="1"/>
    <xf numFmtId="2" fontId="3" fillId="0" borderId="1" xfId="0" applyNumberFormat="1" applyFont="1" applyBorder="1"/>
    <xf numFmtId="2" fontId="1" fillId="0" borderId="1" xfId="0" applyNumberFormat="1" applyFont="1" applyBorder="1"/>
    <xf numFmtId="0" fontId="1" fillId="0" borderId="0" xfId="0" applyFont="1"/>
    <xf numFmtId="2" fontId="1" fillId="0" borderId="0" xfId="0" applyNumberFormat="1" applyFont="1"/>
    <xf numFmtId="0" fontId="1" fillId="0" borderId="1" xfId="0" applyFont="1" applyFill="1" applyBorder="1"/>
    <xf numFmtId="164" fontId="1" fillId="0" borderId="1" xfId="0" applyNumberFormat="1" applyFont="1" applyBorder="1"/>
    <xf numFmtId="2" fontId="1" fillId="0" borderId="1" xfId="0" applyNumberFormat="1" applyFont="1" applyFill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/>
    <xf numFmtId="0" fontId="1" fillId="0" borderId="3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/>
    </xf>
    <xf numFmtId="0" fontId="7" fillId="0" borderId="0" xfId="0" quotePrefix="1" applyFont="1"/>
    <xf numFmtId="2" fontId="0" fillId="0" borderId="5" xfId="0" applyNumberFormat="1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2" fontId="8" fillId="0" borderId="0" xfId="0" applyNumberFormat="1" applyFont="1" applyBorder="1"/>
    <xf numFmtId="165" fontId="8" fillId="0" borderId="0" xfId="0" applyNumberFormat="1" applyFont="1" applyBorder="1" applyAlignment="1">
      <alignment horizontal="right"/>
    </xf>
    <xf numFmtId="0" fontId="1" fillId="0" borderId="0" xfId="0" applyFont="1" applyFill="1" applyBorder="1"/>
    <xf numFmtId="2" fontId="4" fillId="0" borderId="1" xfId="0" applyNumberFormat="1" applyFont="1" applyFill="1" applyBorder="1"/>
    <xf numFmtId="0" fontId="1" fillId="0" borderId="0" xfId="0" applyFont="1" applyFill="1"/>
    <xf numFmtId="0" fontId="9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/>
    <xf numFmtId="0" fontId="14" fillId="0" borderId="0" xfId="0" applyFont="1" applyBorder="1" applyAlignment="1">
      <alignment horizontal="center"/>
    </xf>
    <xf numFmtId="0" fontId="14" fillId="0" borderId="0" xfId="0" applyFont="1"/>
    <xf numFmtId="2" fontId="14" fillId="0" borderId="2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0" fontId="14" fillId="0" borderId="1" xfId="0" applyFont="1" applyBorder="1"/>
    <xf numFmtId="0" fontId="14" fillId="0" borderId="1" xfId="0" applyFont="1" applyFill="1" applyBorder="1"/>
    <xf numFmtId="0" fontId="10" fillId="0" borderId="0" xfId="0" applyFont="1"/>
    <xf numFmtId="2" fontId="7" fillId="0" borderId="0" xfId="0" quotePrefix="1" applyNumberFormat="1" applyFont="1"/>
    <xf numFmtId="0" fontId="9" fillId="0" borderId="0" xfId="0" applyFont="1" applyBorder="1"/>
    <xf numFmtId="164" fontId="0" fillId="0" borderId="1" xfId="0" applyNumberFormat="1" applyBorder="1"/>
    <xf numFmtId="2" fontId="1" fillId="3" borderId="1" xfId="0" applyNumberFormat="1" applyFont="1" applyFill="1" applyBorder="1"/>
    <xf numFmtId="0" fontId="1" fillId="3" borderId="0" xfId="0" applyFont="1" applyFill="1"/>
    <xf numFmtId="2" fontId="0" fillId="3" borderId="1" xfId="0" applyNumberFormat="1" applyFill="1" applyBorder="1"/>
    <xf numFmtId="2" fontId="8" fillId="0" borderId="1" xfId="0" applyNumberFormat="1" applyFont="1" applyBorder="1"/>
    <xf numFmtId="2" fontId="8" fillId="0" borderId="1" xfId="0" applyNumberFormat="1" applyFont="1" applyFill="1" applyBorder="1"/>
    <xf numFmtId="2" fontId="4" fillId="0" borderId="1" xfId="0" applyNumberFormat="1" applyFont="1" applyBorder="1"/>
    <xf numFmtId="2" fontId="16" fillId="0" borderId="0" xfId="0" applyNumberFormat="1" applyFont="1"/>
    <xf numFmtId="2" fontId="1" fillId="5" borderId="1" xfId="0" applyNumberFormat="1" applyFont="1" applyFill="1" applyBorder="1"/>
    <xf numFmtId="2" fontId="1" fillId="4" borderId="1" xfId="0" applyNumberFormat="1" applyFont="1" applyFill="1" applyBorder="1"/>
    <xf numFmtId="0" fontId="1" fillId="5" borderId="1" xfId="0" applyFont="1" applyFill="1" applyBorder="1"/>
    <xf numFmtId="164" fontId="1" fillId="6" borderId="1" xfId="0" applyNumberFormat="1" applyFont="1" applyFill="1" applyBorder="1" applyAlignment="1">
      <alignment horizontal="center"/>
    </xf>
    <xf numFmtId="0" fontId="1" fillId="6" borderId="0" xfId="0" applyFont="1" applyFill="1"/>
    <xf numFmtId="0" fontId="17" fillId="6" borderId="0" xfId="0" applyFont="1" applyFill="1"/>
    <xf numFmtId="0" fontId="14" fillId="6" borderId="0" xfId="0" applyFont="1" applyFill="1"/>
    <xf numFmtId="0" fontId="14" fillId="6" borderId="1" xfId="0" applyFont="1" applyFill="1" applyBorder="1"/>
    <xf numFmtId="2" fontId="14" fillId="6" borderId="1" xfId="0" applyNumberFormat="1" applyFont="1" applyFill="1" applyBorder="1"/>
    <xf numFmtId="0" fontId="0" fillId="2" borderId="0" xfId="0" applyFill="1"/>
    <xf numFmtId="0" fontId="18" fillId="0" borderId="0" xfId="0" applyFont="1" applyFill="1" applyBorder="1"/>
    <xf numFmtId="165" fontId="18" fillId="0" borderId="0" xfId="0" applyNumberFormat="1" applyFont="1" applyBorder="1" applyAlignment="1">
      <alignment horizontal="right"/>
    </xf>
    <xf numFmtId="0" fontId="19" fillId="0" borderId="0" xfId="0" applyFont="1"/>
    <xf numFmtId="0" fontId="20" fillId="0" borderId="0" xfId="0" applyFont="1"/>
    <xf numFmtId="165" fontId="18" fillId="0" borderId="0" xfId="0" applyNumberFormat="1" applyFont="1" applyBorder="1" applyAlignment="1">
      <alignment horizontal="right" vertical="center"/>
    </xf>
    <xf numFmtId="165" fontId="18" fillId="0" borderId="0" xfId="0" applyNumberFormat="1" applyFont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2" fontId="0" fillId="0" borderId="1" xfId="0" applyNumberFormat="1" applyFill="1" applyBorder="1"/>
    <xf numFmtId="164" fontId="8" fillId="0" borderId="1" xfId="0" applyNumberFormat="1" applyFont="1" applyBorder="1"/>
    <xf numFmtId="2" fontId="3" fillId="0" borderId="9" xfId="0" applyNumberFormat="1" applyFont="1" applyBorder="1" applyAlignment="1"/>
    <xf numFmtId="2" fontId="0" fillId="7" borderId="1" xfId="0" applyNumberFormat="1" applyFill="1" applyBorder="1"/>
    <xf numFmtId="2" fontId="1" fillId="7" borderId="1" xfId="0" applyNumberFormat="1" applyFont="1" applyFill="1" applyBorder="1"/>
    <xf numFmtId="2" fontId="23" fillId="0" borderId="0" xfId="0" applyNumberFormat="1" applyFont="1"/>
    <xf numFmtId="1" fontId="3" fillId="0" borderId="0" xfId="0" applyNumberFormat="1" applyFont="1"/>
    <xf numFmtId="1" fontId="1" fillId="0" borderId="0" xfId="0" applyNumberFormat="1" applyFont="1"/>
    <xf numFmtId="164" fontId="1" fillId="8" borderId="1" xfId="0" applyNumberFormat="1" applyFont="1" applyFill="1" applyBorder="1" applyAlignment="1">
      <alignment horizontal="center"/>
    </xf>
    <xf numFmtId="1" fontId="1" fillId="8" borderId="0" xfId="0" applyNumberFormat="1" applyFont="1" applyFill="1"/>
    <xf numFmtId="0" fontId="24" fillId="0" borderId="0" xfId="0" applyFont="1" applyFill="1" applyBorder="1"/>
    <xf numFmtId="0" fontId="24" fillId="0" borderId="6" xfId="0" applyFont="1" applyFill="1" applyBorder="1"/>
    <xf numFmtId="0" fontId="24" fillId="0" borderId="1" xfId="0" applyFont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2" fontId="24" fillId="0" borderId="1" xfId="0" applyNumberFormat="1" applyFont="1" applyBorder="1"/>
    <xf numFmtId="0" fontId="24" fillId="0" borderId="0" xfId="0" applyFont="1"/>
    <xf numFmtId="0" fontId="25" fillId="0" borderId="0" xfId="0" applyFont="1"/>
    <xf numFmtId="2" fontId="25" fillId="0" borderId="1" xfId="0" applyNumberFormat="1" applyFont="1" applyBorder="1"/>
    <xf numFmtId="2" fontId="24" fillId="0" borderId="0" xfId="0" applyNumberFormat="1" applyFont="1"/>
    <xf numFmtId="0" fontId="25" fillId="0" borderId="1" xfId="0" applyFont="1" applyBorder="1"/>
    <xf numFmtId="0" fontId="4" fillId="0" borderId="1" xfId="0" applyFont="1" applyBorder="1"/>
    <xf numFmtId="164" fontId="3" fillId="0" borderId="9" xfId="0" applyNumberFormat="1" applyFont="1" applyBorder="1" applyAlignment="1"/>
    <xf numFmtId="0" fontId="1" fillId="0" borderId="5" xfId="0" applyFont="1" applyFill="1" applyBorder="1"/>
    <xf numFmtId="0" fontId="8" fillId="0" borderId="0" xfId="0" applyFont="1"/>
    <xf numFmtId="2" fontId="4" fillId="0" borderId="0" xfId="0" applyNumberFormat="1" applyFont="1"/>
    <xf numFmtId="165" fontId="1" fillId="3" borderId="1" xfId="0" applyNumberFormat="1" applyFont="1" applyFill="1" applyBorder="1"/>
    <xf numFmtId="0" fontId="1" fillId="0" borderId="1" xfId="0" applyFont="1" applyBorder="1" applyAlignment="1">
      <alignment horizontal="right" vertical="center"/>
    </xf>
    <xf numFmtId="0" fontId="1" fillId="2" borderId="8" xfId="0" applyFont="1" applyFill="1" applyBorder="1"/>
    <xf numFmtId="2" fontId="3" fillId="7" borderId="1" xfId="0" applyNumberFormat="1" applyFont="1" applyFill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0" fontId="5" fillId="6" borderId="0" xfId="0" applyFont="1" applyFill="1"/>
    <xf numFmtId="0" fontId="0" fillId="0" borderId="0" xfId="0" applyFont="1"/>
    <xf numFmtId="164" fontId="1" fillId="7" borderId="1" xfId="0" applyNumberFormat="1" applyFont="1" applyFill="1" applyBorder="1" applyAlignment="1">
      <alignment horizontal="center"/>
    </xf>
    <xf numFmtId="0" fontId="0" fillId="4" borderId="0" xfId="0" applyFill="1"/>
    <xf numFmtId="2" fontId="1" fillId="2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8" xfId="0" applyFont="1" applyFill="1" applyBorder="1"/>
    <xf numFmtId="2" fontId="1" fillId="10" borderId="4" xfId="0" applyNumberFormat="1" applyFont="1" applyFill="1" applyBorder="1"/>
    <xf numFmtId="2" fontId="1" fillId="0" borderId="0" xfId="0" applyNumberFormat="1" applyFont="1" applyBorder="1"/>
    <xf numFmtId="0" fontId="26" fillId="0" borderId="0" xfId="0" applyFont="1"/>
    <xf numFmtId="164" fontId="1" fillId="9" borderId="1" xfId="0" applyNumberFormat="1" applyFont="1" applyFill="1" applyBorder="1" applyAlignment="1">
      <alignment horizontal="center"/>
    </xf>
    <xf numFmtId="2" fontId="1" fillId="10" borderId="1" xfId="0" applyNumberFormat="1" applyFont="1" applyFill="1" applyBorder="1" applyAlignment="1">
      <alignment horizontal="right"/>
    </xf>
    <xf numFmtId="0" fontId="29" fillId="11" borderId="0" xfId="0" applyFont="1" applyFill="1"/>
    <xf numFmtId="0" fontId="0" fillId="11" borderId="0" xfId="0" applyFill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0" fillId="0" borderId="0" xfId="0" applyFill="1"/>
    <xf numFmtId="2" fontId="1" fillId="12" borderId="1" xfId="0" applyNumberFormat="1" applyFont="1" applyFill="1" applyBorder="1" applyProtection="1">
      <protection locked="0"/>
    </xf>
    <xf numFmtId="2" fontId="33" fillId="12" borderId="1" xfId="0" applyNumberFormat="1" applyFont="1" applyFill="1" applyBorder="1" applyProtection="1">
      <protection locked="0"/>
    </xf>
    <xf numFmtId="2" fontId="4" fillId="12" borderId="1" xfId="0" applyNumberFormat="1" applyFont="1" applyFill="1" applyBorder="1" applyAlignment="1" applyProtection="1">
      <protection locked="0"/>
    </xf>
    <xf numFmtId="0" fontId="33" fillId="0" borderId="0" xfId="0" applyFont="1"/>
    <xf numFmtId="2" fontId="3" fillId="0" borderId="0" xfId="0" applyNumberFormat="1" applyFont="1" applyBorder="1" applyAlignment="1"/>
    <xf numFmtId="0" fontId="4" fillId="0" borderId="1" xfId="0" applyFont="1" applyFill="1" applyBorder="1"/>
    <xf numFmtId="0" fontId="0" fillId="0" borderId="1" xfId="0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33" fillId="0" borderId="1" xfId="0" applyFont="1" applyBorder="1" applyAlignment="1">
      <alignment horizontal="right" vertical="center"/>
    </xf>
    <xf numFmtId="2" fontId="0" fillId="4" borderId="0" xfId="0" applyNumberFormat="1" applyFill="1"/>
    <xf numFmtId="2" fontId="7" fillId="0" borderId="1" xfId="0" applyNumberFormat="1" applyFont="1" applyBorder="1"/>
    <xf numFmtId="2" fontId="1" fillId="0" borderId="1" xfId="0" applyNumberFormat="1" applyFont="1" applyBorder="1" applyAlignment="1">
      <alignment horizontal="right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7" fillId="0" borderId="0" xfId="0" applyFont="1"/>
    <xf numFmtId="2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9" fillId="0" borderId="0" xfId="0" applyFont="1" applyFill="1" applyBorder="1"/>
    <xf numFmtId="0" fontId="19" fillId="0" borderId="0" xfId="0" applyFont="1" applyFill="1" applyBorder="1"/>
    <xf numFmtId="0" fontId="19" fillId="0" borderId="8" xfId="0" applyFont="1" applyFill="1" applyBorder="1"/>
    <xf numFmtId="0" fontId="34" fillId="3" borderId="7" xfId="0" applyFont="1" applyFill="1" applyBorder="1" applyAlignment="1">
      <alignment horizontal="center"/>
    </xf>
    <xf numFmtId="164" fontId="34" fillId="3" borderId="10" xfId="0" applyNumberFormat="1" applyFont="1" applyFill="1" applyBorder="1" applyAlignment="1">
      <alignment horizontal="center"/>
    </xf>
    <xf numFmtId="0" fontId="34" fillId="13" borderId="3" xfId="0" applyFont="1" applyFill="1" applyBorder="1" applyAlignment="1">
      <alignment horizontal="right" vertical="center"/>
    </xf>
    <xf numFmtId="0" fontId="37" fillId="0" borderId="1" xfId="181" applyFont="1" applyBorder="1"/>
    <xf numFmtId="0" fontId="27" fillId="0" borderId="1" xfId="181" applyFont="1" applyBorder="1"/>
  </cellXfs>
  <cellStyles count="182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Normal" xfId="0" builtinId="0"/>
    <cellStyle name="Normal 2" xfId="1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dPt>
            <c:idx val="0"/>
            <c:bubble3D val="0"/>
            <c:spPr>
              <a:ln>
                <a:noFill/>
              </a:ln>
            </c:spPr>
          </c:dPt>
          <c:dPt>
            <c:idx val="1"/>
            <c:bubble3D val="0"/>
            <c:spPr>
              <a:ln>
                <a:noFill/>
              </a:ln>
            </c:spPr>
          </c:dPt>
          <c:dPt>
            <c:idx val="6"/>
            <c:bubble3D val="0"/>
            <c:spPr>
              <a:ln>
                <a:noFill/>
              </a:ln>
            </c:spPr>
          </c:dPt>
          <c:dPt>
            <c:idx val="14"/>
            <c:bubble3D val="0"/>
            <c:spPr>
              <a:ln>
                <a:noFill/>
              </a:ln>
            </c:spPr>
          </c:dPt>
          <c:xVal>
            <c:numRef>
              <c:f>'résistance_section (2)'!$C$45:$C$62</c:f>
              <c:numCache>
                <c:formatCode>0.00</c:formatCode>
                <c:ptCount val="18"/>
                <c:pt idx="0" formatCode="General">
                  <c:v>0</c:v>
                </c:pt>
                <c:pt idx="1">
                  <c:v>15</c:v>
                </c:pt>
                <c:pt idx="2" formatCode="General">
                  <c:v>15</c:v>
                </c:pt>
                <c:pt idx="3" formatCode="General">
                  <c:v>22</c:v>
                </c:pt>
                <c:pt idx="4" formatCode="General">
                  <c:v>29</c:v>
                </c:pt>
                <c:pt idx="5">
                  <c:v>0</c:v>
                </c:pt>
                <c:pt idx="6">
                  <c:v>0</c:v>
                </c:pt>
                <c:pt idx="7">
                  <c:v>29</c:v>
                </c:pt>
                <c:pt idx="8">
                  <c:v>0</c:v>
                </c:pt>
                <c:pt idx="9">
                  <c:v>0</c:v>
                </c:pt>
                <c:pt idx="10">
                  <c:v>33</c:v>
                </c:pt>
                <c:pt idx="11">
                  <c:v>43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General">
                  <c:v>53</c:v>
                </c:pt>
                <c:pt idx="16" formatCode="General">
                  <c:v>89</c:v>
                </c:pt>
                <c:pt idx="17" formatCode="General">
                  <c:v>97</c:v>
                </c:pt>
              </c:numCache>
            </c:numRef>
          </c:xVal>
          <c:yVal>
            <c:numRef>
              <c:f>'résistance_section (2)'!$D$45:$D$62</c:f>
              <c:numCache>
                <c:formatCode>General</c:formatCode>
                <c:ptCount val="18"/>
                <c:pt idx="0">
                  <c:v>112</c:v>
                </c:pt>
                <c:pt idx="1">
                  <c:v>112</c:v>
                </c:pt>
                <c:pt idx="2">
                  <c:v>112</c:v>
                </c:pt>
                <c:pt idx="3">
                  <c:v>105</c:v>
                </c:pt>
                <c:pt idx="4">
                  <c:v>112</c:v>
                </c:pt>
                <c:pt idx="5">
                  <c:v>112</c:v>
                </c:pt>
                <c:pt idx="6">
                  <c:v>112</c:v>
                </c:pt>
                <c:pt idx="7">
                  <c:v>112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82</c:v>
                </c:pt>
                <c:pt idx="11" formatCode="0.00">
                  <c:v>75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32544"/>
        <c:axId val="57933120"/>
      </c:scatterChart>
      <c:valAx>
        <c:axId val="5793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933120"/>
        <c:crosses val="autoZero"/>
        <c:crossBetween val="midCat"/>
      </c:valAx>
      <c:valAx>
        <c:axId val="57933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9325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3" l="0.70000000000000095" r="0.70000000000000095" t="0.750000000000003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dPt>
            <c:idx val="0"/>
            <c:bubble3D val="0"/>
            <c:spPr>
              <a:ln>
                <a:noFill/>
              </a:ln>
            </c:spPr>
          </c:dPt>
          <c:dPt>
            <c:idx val="1"/>
            <c:bubble3D val="0"/>
            <c:spPr>
              <a:ln>
                <a:noFill/>
              </a:ln>
            </c:spPr>
          </c:dPt>
          <c:dPt>
            <c:idx val="6"/>
            <c:bubble3D val="0"/>
            <c:spPr>
              <a:ln>
                <a:noFill/>
              </a:ln>
            </c:spPr>
          </c:dPt>
          <c:dPt>
            <c:idx val="14"/>
            <c:bubble3D val="0"/>
            <c:spPr>
              <a:ln>
                <a:noFill/>
              </a:ln>
            </c:spPr>
          </c:dPt>
          <c:xVal>
            <c:numRef>
              <c:f>'résistance_section (3)'!$C$45:$C$62</c:f>
              <c:numCache>
                <c:formatCode>0.00</c:formatCode>
                <c:ptCount val="18"/>
                <c:pt idx="0" formatCode="General">
                  <c:v>0</c:v>
                </c:pt>
                <c:pt idx="1">
                  <c:v>15</c:v>
                </c:pt>
                <c:pt idx="2" formatCode="General">
                  <c:v>15</c:v>
                </c:pt>
                <c:pt idx="3" formatCode="General">
                  <c:v>22</c:v>
                </c:pt>
                <c:pt idx="4" formatCode="General">
                  <c:v>29</c:v>
                </c:pt>
                <c:pt idx="5">
                  <c:v>0</c:v>
                </c:pt>
                <c:pt idx="6">
                  <c:v>0</c:v>
                </c:pt>
                <c:pt idx="7">
                  <c:v>29</c:v>
                </c:pt>
                <c:pt idx="8">
                  <c:v>0</c:v>
                </c:pt>
                <c:pt idx="9">
                  <c:v>0</c:v>
                </c:pt>
                <c:pt idx="10">
                  <c:v>33</c:v>
                </c:pt>
                <c:pt idx="11">
                  <c:v>43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General">
                  <c:v>53</c:v>
                </c:pt>
                <c:pt idx="16" formatCode="General">
                  <c:v>89</c:v>
                </c:pt>
                <c:pt idx="17" formatCode="General">
                  <c:v>97</c:v>
                </c:pt>
              </c:numCache>
            </c:numRef>
          </c:xVal>
          <c:yVal>
            <c:numRef>
              <c:f>'résistance_section (3)'!$D$45:$D$62</c:f>
              <c:numCache>
                <c:formatCode>General</c:formatCode>
                <c:ptCount val="18"/>
                <c:pt idx="0">
                  <c:v>112</c:v>
                </c:pt>
                <c:pt idx="1">
                  <c:v>112</c:v>
                </c:pt>
                <c:pt idx="2">
                  <c:v>112</c:v>
                </c:pt>
                <c:pt idx="3">
                  <c:v>105</c:v>
                </c:pt>
                <c:pt idx="4">
                  <c:v>112</c:v>
                </c:pt>
                <c:pt idx="5">
                  <c:v>112</c:v>
                </c:pt>
                <c:pt idx="6">
                  <c:v>112</c:v>
                </c:pt>
                <c:pt idx="7">
                  <c:v>112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82</c:v>
                </c:pt>
                <c:pt idx="11" formatCode="0.00">
                  <c:v>75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61312"/>
        <c:axId val="104261888"/>
      </c:scatterChart>
      <c:valAx>
        <c:axId val="10426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261888"/>
        <c:crosses val="autoZero"/>
        <c:crossBetween val="midCat"/>
      </c:valAx>
      <c:valAx>
        <c:axId val="104261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2613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3" l="0.70000000000000095" r="0.70000000000000095" t="0.750000000000003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204788</xdr:colOff>
      <xdr:row>22</xdr:row>
      <xdr:rowOff>107002</xdr:rowOff>
    </xdr:from>
    <xdr:ext cx="4079081" cy="1936410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2788" y="4412302"/>
          <a:ext cx="4079081" cy="1936410"/>
        </a:xfrm>
        <a:prstGeom prst="rect">
          <a:avLst/>
        </a:prstGeom>
      </xdr:spPr>
    </xdr:pic>
    <xdr:clientData/>
  </xdr:oneCellAnchor>
  <xdr:twoCellAnchor editAs="oneCell">
    <xdr:from>
      <xdr:col>5</xdr:col>
      <xdr:colOff>685800</xdr:colOff>
      <xdr:row>6</xdr:row>
      <xdr:rowOff>88900</xdr:rowOff>
    </xdr:from>
    <xdr:to>
      <xdr:col>9</xdr:col>
      <xdr:colOff>537006</xdr:colOff>
      <xdr:row>21</xdr:row>
      <xdr:rowOff>12700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3300" y="1308100"/>
          <a:ext cx="3153206" cy="28067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59</xdr:row>
      <xdr:rowOff>123825</xdr:rowOff>
    </xdr:from>
    <xdr:to>
      <xdr:col>8</xdr:col>
      <xdr:colOff>390525</xdr:colOff>
      <xdr:row>60</xdr:row>
      <xdr:rowOff>161925</xdr:rowOff>
    </xdr:to>
    <xdr:sp macro="" textlink="">
      <xdr:nvSpPr>
        <xdr:cNvPr id="4" name="ZoneTexte 3"/>
        <xdr:cNvSpPr txBox="1"/>
      </xdr:nvSpPr>
      <xdr:spPr>
        <a:xfrm>
          <a:off x="8458200" y="5143500"/>
          <a:ext cx="400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533399</xdr:colOff>
      <xdr:row>45</xdr:row>
      <xdr:rowOff>38101</xdr:rowOff>
    </xdr:from>
    <xdr:to>
      <xdr:col>8</xdr:col>
      <xdr:colOff>581024</xdr:colOff>
      <xdr:row>49</xdr:row>
      <xdr:rowOff>57150</xdr:rowOff>
    </xdr:to>
    <xdr:sp macro="" textlink="">
      <xdr:nvSpPr>
        <xdr:cNvPr id="2" name="ZoneTexte 1"/>
        <xdr:cNvSpPr txBox="1"/>
      </xdr:nvSpPr>
      <xdr:spPr>
        <a:xfrm>
          <a:off x="5537199" y="7620001"/>
          <a:ext cx="1698625" cy="730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1</a:t>
          </a:r>
          <a:r>
            <a:rPr lang="fr-FR" sz="1100" b="1" baseline="0"/>
            <a:t>                      4          5</a:t>
          </a:r>
          <a:endParaRPr lang="fr-FR" sz="1100" b="1"/>
        </a:p>
      </xdr:txBody>
    </xdr:sp>
    <xdr:clientData/>
  </xdr:twoCellAnchor>
  <xdr:twoCellAnchor>
    <xdr:from>
      <xdr:col>6</xdr:col>
      <xdr:colOff>628650</xdr:colOff>
      <xdr:row>43</xdr:row>
      <xdr:rowOff>9525</xdr:rowOff>
    </xdr:from>
    <xdr:to>
      <xdr:col>7</xdr:col>
      <xdr:colOff>457200</xdr:colOff>
      <xdr:row>44</xdr:row>
      <xdr:rowOff>133350</xdr:rowOff>
    </xdr:to>
    <xdr:sp macro="" textlink="">
      <xdr:nvSpPr>
        <xdr:cNvPr id="3" name="ZoneTexte 2"/>
        <xdr:cNvSpPr txBox="1"/>
      </xdr:nvSpPr>
      <xdr:spPr>
        <a:xfrm>
          <a:off x="5632450" y="7235825"/>
          <a:ext cx="654050" cy="30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2        3</a:t>
          </a:r>
        </a:p>
      </xdr:txBody>
    </xdr:sp>
    <xdr:clientData/>
  </xdr:twoCellAnchor>
  <xdr:twoCellAnchor>
    <xdr:from>
      <xdr:col>8</xdr:col>
      <xdr:colOff>714375</xdr:colOff>
      <xdr:row>44</xdr:row>
      <xdr:rowOff>171451</xdr:rowOff>
    </xdr:from>
    <xdr:to>
      <xdr:col>11</xdr:col>
      <xdr:colOff>619125</xdr:colOff>
      <xdr:row>59</xdr:row>
      <xdr:rowOff>123825</xdr:rowOff>
    </xdr:to>
    <xdr:sp macro="" textlink="">
      <xdr:nvSpPr>
        <xdr:cNvPr id="4" name="ZoneTexte 3"/>
        <xdr:cNvSpPr txBox="1"/>
      </xdr:nvSpPr>
      <xdr:spPr>
        <a:xfrm>
          <a:off x="7369175" y="7575551"/>
          <a:ext cx="2381250" cy="2619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6</a:t>
          </a:r>
        </a:p>
        <a:p>
          <a:r>
            <a:rPr lang="fr-FR" sz="1100" b="1" baseline="0"/>
            <a:t>   </a:t>
          </a:r>
        </a:p>
        <a:p>
          <a:r>
            <a:rPr lang="fr-FR" sz="1100" b="1"/>
            <a:t>   7</a:t>
          </a:r>
        </a:p>
        <a:p>
          <a:r>
            <a:rPr lang="fr-FR" sz="1100" b="1"/>
            <a:t>         8</a:t>
          </a:r>
        </a:p>
        <a:p>
          <a:r>
            <a:rPr lang="fr-FR" sz="1100" b="1"/>
            <a:t>             9</a:t>
          </a:r>
        </a:p>
        <a:p>
          <a:endParaRPr lang="fr-FR" sz="1100" b="1"/>
        </a:p>
        <a:p>
          <a:endParaRPr lang="fr-FR" sz="1100" b="1"/>
        </a:p>
        <a:p>
          <a:r>
            <a:rPr lang="fr-FR" sz="1100" b="1"/>
            <a:t>                 10</a:t>
          </a:r>
        </a:p>
        <a:p>
          <a:endParaRPr lang="fr-FR" sz="1100" b="1"/>
        </a:p>
        <a:p>
          <a:endParaRPr lang="fr-FR" sz="1100" b="1"/>
        </a:p>
        <a:p>
          <a:endParaRPr lang="fr-FR" sz="1100" b="1"/>
        </a:p>
        <a:p>
          <a:r>
            <a:rPr lang="fr-FR" sz="1100" b="1"/>
            <a:t>	11                  12</a:t>
          </a:r>
        </a:p>
      </xdr:txBody>
    </xdr:sp>
    <xdr:clientData/>
  </xdr:twoCellAnchor>
  <xdr:twoCellAnchor>
    <xdr:from>
      <xdr:col>5</xdr:col>
      <xdr:colOff>638175</xdr:colOff>
      <xdr:row>58</xdr:row>
      <xdr:rowOff>47625</xdr:rowOff>
    </xdr:from>
    <xdr:to>
      <xdr:col>11</xdr:col>
      <xdr:colOff>638175</xdr:colOff>
      <xdr:row>72</xdr:row>
      <xdr:rowOff>123825</xdr:rowOff>
    </xdr:to>
    <xdr:grpSp>
      <xdr:nvGrpSpPr>
        <xdr:cNvPr id="5" name="Groupe 9"/>
        <xdr:cNvGrpSpPr/>
      </xdr:nvGrpSpPr>
      <xdr:grpSpPr>
        <a:xfrm>
          <a:off x="4448175" y="11182350"/>
          <a:ext cx="4572000" cy="2743200"/>
          <a:chOff x="4448175" y="8324850"/>
          <a:chExt cx="4572000" cy="2743200"/>
        </a:xfrm>
      </xdr:grpSpPr>
      <xdr:graphicFrame macro="">
        <xdr:nvGraphicFramePr>
          <xdr:cNvPr id="6" name="Graphique 5"/>
          <xdr:cNvGraphicFramePr/>
        </xdr:nvGraphicFramePr>
        <xdr:xfrm>
          <a:off x="4448175" y="832485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7" name="ZoneTexte 6"/>
          <xdr:cNvSpPr txBox="1"/>
        </xdr:nvSpPr>
        <xdr:spPr>
          <a:xfrm>
            <a:off x="5048250" y="8401050"/>
            <a:ext cx="1571625" cy="495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fr-FR" sz="1100" b="1"/>
              <a:t>1</a:t>
            </a:r>
            <a:r>
              <a:rPr lang="fr-FR" sz="1100" b="1" baseline="0"/>
              <a:t>                      4          5</a:t>
            </a:r>
          </a:p>
          <a:p>
            <a:r>
              <a:rPr lang="fr-FR" sz="1100" b="1"/>
              <a:t>      2        3</a:t>
            </a:r>
          </a:p>
        </xdr:txBody>
      </xdr: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0.425</cdr:x>
      <cdr:y>0.07292</cdr:y>
    </cdr:from>
    <cdr:to>
      <cdr:x>0.90417</cdr:x>
      <cdr:y>0.88889</cdr:y>
    </cdr:to>
    <cdr:sp macro="" textlink="">
      <cdr:nvSpPr>
        <cdr:cNvPr id="2" name="ZoneTexte 5"/>
        <cdr:cNvSpPr txBox="1"/>
      </cdr:nvSpPr>
      <cdr:spPr>
        <a:xfrm xmlns:a="http://schemas.openxmlformats.org/drawingml/2006/main">
          <a:off x="1943100" y="200025"/>
          <a:ext cx="2190750" cy="2238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fr-FR" sz="1100" b="1"/>
            <a:t>6</a:t>
          </a:r>
        </a:p>
        <a:p xmlns:a="http://schemas.openxmlformats.org/drawingml/2006/main">
          <a:r>
            <a:rPr lang="fr-FR" sz="1100" b="1" baseline="0"/>
            <a:t>   </a:t>
          </a:r>
        </a:p>
        <a:p xmlns:a="http://schemas.openxmlformats.org/drawingml/2006/main">
          <a:r>
            <a:rPr lang="fr-FR" sz="1100" b="1"/>
            <a:t>   7</a:t>
          </a:r>
        </a:p>
        <a:p xmlns:a="http://schemas.openxmlformats.org/drawingml/2006/main">
          <a:r>
            <a:rPr lang="fr-FR" sz="1100" b="1"/>
            <a:t>         8</a:t>
          </a:r>
        </a:p>
        <a:p xmlns:a="http://schemas.openxmlformats.org/drawingml/2006/main">
          <a:r>
            <a:rPr lang="fr-FR" sz="1100" b="1"/>
            <a:t>             9</a:t>
          </a:r>
        </a:p>
        <a:p xmlns:a="http://schemas.openxmlformats.org/drawingml/2006/main">
          <a:endParaRPr lang="fr-FR" sz="1100" b="1"/>
        </a:p>
        <a:p xmlns:a="http://schemas.openxmlformats.org/drawingml/2006/main">
          <a:endParaRPr lang="fr-FR" sz="1100" b="1"/>
        </a:p>
        <a:p xmlns:a="http://schemas.openxmlformats.org/drawingml/2006/main">
          <a:r>
            <a:rPr lang="fr-FR" sz="1100" b="1"/>
            <a:t>                 10</a:t>
          </a:r>
        </a:p>
        <a:p xmlns:a="http://schemas.openxmlformats.org/drawingml/2006/main">
          <a:endParaRPr lang="fr-FR" sz="1100" b="1"/>
        </a:p>
        <a:p xmlns:a="http://schemas.openxmlformats.org/drawingml/2006/main">
          <a:endParaRPr lang="fr-FR" sz="1100" b="1"/>
        </a:p>
        <a:p xmlns:a="http://schemas.openxmlformats.org/drawingml/2006/main">
          <a:endParaRPr lang="fr-FR" sz="1100" b="1"/>
        </a:p>
        <a:p xmlns:a="http://schemas.openxmlformats.org/drawingml/2006/main">
          <a:r>
            <a:rPr lang="fr-FR" sz="1100" b="1"/>
            <a:t>	11                  12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533399</xdr:colOff>
      <xdr:row>45</xdr:row>
      <xdr:rowOff>38101</xdr:rowOff>
    </xdr:from>
    <xdr:to>
      <xdr:col>8</xdr:col>
      <xdr:colOff>581024</xdr:colOff>
      <xdr:row>49</xdr:row>
      <xdr:rowOff>57150</xdr:rowOff>
    </xdr:to>
    <xdr:sp macro="" textlink="">
      <xdr:nvSpPr>
        <xdr:cNvPr id="2" name="ZoneTexte 1"/>
        <xdr:cNvSpPr txBox="1"/>
      </xdr:nvSpPr>
      <xdr:spPr>
        <a:xfrm>
          <a:off x="5537199" y="7620001"/>
          <a:ext cx="1698625" cy="730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1</a:t>
          </a:r>
          <a:r>
            <a:rPr lang="fr-FR" sz="1100" b="1" baseline="0"/>
            <a:t>                      4          5</a:t>
          </a:r>
          <a:endParaRPr lang="fr-FR" sz="1100" b="1"/>
        </a:p>
      </xdr:txBody>
    </xdr:sp>
    <xdr:clientData/>
  </xdr:twoCellAnchor>
  <xdr:twoCellAnchor>
    <xdr:from>
      <xdr:col>6</xdr:col>
      <xdr:colOff>628650</xdr:colOff>
      <xdr:row>43</xdr:row>
      <xdr:rowOff>9525</xdr:rowOff>
    </xdr:from>
    <xdr:to>
      <xdr:col>7</xdr:col>
      <xdr:colOff>457200</xdr:colOff>
      <xdr:row>44</xdr:row>
      <xdr:rowOff>133350</xdr:rowOff>
    </xdr:to>
    <xdr:sp macro="" textlink="">
      <xdr:nvSpPr>
        <xdr:cNvPr id="3" name="ZoneTexte 2"/>
        <xdr:cNvSpPr txBox="1"/>
      </xdr:nvSpPr>
      <xdr:spPr>
        <a:xfrm>
          <a:off x="5632450" y="7235825"/>
          <a:ext cx="654050" cy="30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2        3</a:t>
          </a:r>
        </a:p>
      </xdr:txBody>
    </xdr:sp>
    <xdr:clientData/>
  </xdr:twoCellAnchor>
  <xdr:twoCellAnchor>
    <xdr:from>
      <xdr:col>8</xdr:col>
      <xdr:colOff>714375</xdr:colOff>
      <xdr:row>44</xdr:row>
      <xdr:rowOff>171451</xdr:rowOff>
    </xdr:from>
    <xdr:to>
      <xdr:col>11</xdr:col>
      <xdr:colOff>619125</xdr:colOff>
      <xdr:row>59</xdr:row>
      <xdr:rowOff>123825</xdr:rowOff>
    </xdr:to>
    <xdr:sp macro="" textlink="">
      <xdr:nvSpPr>
        <xdr:cNvPr id="4" name="ZoneTexte 3"/>
        <xdr:cNvSpPr txBox="1"/>
      </xdr:nvSpPr>
      <xdr:spPr>
        <a:xfrm>
          <a:off x="7369175" y="7575551"/>
          <a:ext cx="2381250" cy="2619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6</a:t>
          </a:r>
        </a:p>
        <a:p>
          <a:r>
            <a:rPr lang="fr-FR" sz="1100" b="1" baseline="0"/>
            <a:t>   </a:t>
          </a:r>
        </a:p>
        <a:p>
          <a:r>
            <a:rPr lang="fr-FR" sz="1100" b="1"/>
            <a:t>   7</a:t>
          </a:r>
        </a:p>
        <a:p>
          <a:r>
            <a:rPr lang="fr-FR" sz="1100" b="1"/>
            <a:t>         8</a:t>
          </a:r>
        </a:p>
        <a:p>
          <a:r>
            <a:rPr lang="fr-FR" sz="1100" b="1"/>
            <a:t>             9</a:t>
          </a:r>
        </a:p>
        <a:p>
          <a:endParaRPr lang="fr-FR" sz="1100" b="1"/>
        </a:p>
        <a:p>
          <a:endParaRPr lang="fr-FR" sz="1100" b="1"/>
        </a:p>
        <a:p>
          <a:r>
            <a:rPr lang="fr-FR" sz="1100" b="1"/>
            <a:t>                 10</a:t>
          </a:r>
        </a:p>
        <a:p>
          <a:endParaRPr lang="fr-FR" sz="1100" b="1"/>
        </a:p>
        <a:p>
          <a:endParaRPr lang="fr-FR" sz="1100" b="1"/>
        </a:p>
        <a:p>
          <a:endParaRPr lang="fr-FR" sz="1100" b="1"/>
        </a:p>
        <a:p>
          <a:r>
            <a:rPr lang="fr-FR" sz="1100" b="1"/>
            <a:t>	11                  12</a:t>
          </a:r>
        </a:p>
      </xdr:txBody>
    </xdr:sp>
    <xdr:clientData/>
  </xdr:twoCellAnchor>
  <xdr:twoCellAnchor>
    <xdr:from>
      <xdr:col>5</xdr:col>
      <xdr:colOff>638175</xdr:colOff>
      <xdr:row>58</xdr:row>
      <xdr:rowOff>47625</xdr:rowOff>
    </xdr:from>
    <xdr:to>
      <xdr:col>11</xdr:col>
      <xdr:colOff>638175</xdr:colOff>
      <xdr:row>72</xdr:row>
      <xdr:rowOff>123825</xdr:rowOff>
    </xdr:to>
    <xdr:grpSp>
      <xdr:nvGrpSpPr>
        <xdr:cNvPr id="5" name="Groupe 9"/>
        <xdr:cNvGrpSpPr/>
      </xdr:nvGrpSpPr>
      <xdr:grpSpPr>
        <a:xfrm>
          <a:off x="4448175" y="11182350"/>
          <a:ext cx="4572000" cy="2743200"/>
          <a:chOff x="4448175" y="8324850"/>
          <a:chExt cx="4572000" cy="2743200"/>
        </a:xfrm>
      </xdr:grpSpPr>
      <xdr:graphicFrame macro="">
        <xdr:nvGraphicFramePr>
          <xdr:cNvPr id="6" name="Graphique 5"/>
          <xdr:cNvGraphicFramePr/>
        </xdr:nvGraphicFramePr>
        <xdr:xfrm>
          <a:off x="4448175" y="832485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7" name="ZoneTexte 6"/>
          <xdr:cNvSpPr txBox="1"/>
        </xdr:nvSpPr>
        <xdr:spPr>
          <a:xfrm>
            <a:off x="5048250" y="8401050"/>
            <a:ext cx="1571625" cy="495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fr-FR" sz="1100" b="1"/>
              <a:t>1</a:t>
            </a:r>
            <a:r>
              <a:rPr lang="fr-FR" sz="1100" b="1" baseline="0"/>
              <a:t>                      4          5</a:t>
            </a:r>
          </a:p>
          <a:p>
            <a:r>
              <a:rPr lang="fr-FR" sz="1100" b="1"/>
              <a:t>      2        3</a:t>
            </a:r>
          </a:p>
        </xdr:txBody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0.425</cdr:x>
      <cdr:y>0.07292</cdr:y>
    </cdr:from>
    <cdr:to>
      <cdr:x>0.90417</cdr:x>
      <cdr:y>0.88889</cdr:y>
    </cdr:to>
    <cdr:sp macro="" textlink="">
      <cdr:nvSpPr>
        <cdr:cNvPr id="2" name="ZoneTexte 5"/>
        <cdr:cNvSpPr txBox="1"/>
      </cdr:nvSpPr>
      <cdr:spPr>
        <a:xfrm xmlns:a="http://schemas.openxmlformats.org/drawingml/2006/main">
          <a:off x="1943100" y="200025"/>
          <a:ext cx="2190750" cy="2238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fr-FR" sz="1100" b="1"/>
            <a:t>6</a:t>
          </a:r>
        </a:p>
        <a:p xmlns:a="http://schemas.openxmlformats.org/drawingml/2006/main">
          <a:r>
            <a:rPr lang="fr-FR" sz="1100" b="1" baseline="0"/>
            <a:t>   </a:t>
          </a:r>
        </a:p>
        <a:p xmlns:a="http://schemas.openxmlformats.org/drawingml/2006/main">
          <a:r>
            <a:rPr lang="fr-FR" sz="1100" b="1"/>
            <a:t>   7</a:t>
          </a:r>
        </a:p>
        <a:p xmlns:a="http://schemas.openxmlformats.org/drawingml/2006/main">
          <a:r>
            <a:rPr lang="fr-FR" sz="1100" b="1"/>
            <a:t>         8</a:t>
          </a:r>
        </a:p>
        <a:p xmlns:a="http://schemas.openxmlformats.org/drawingml/2006/main">
          <a:r>
            <a:rPr lang="fr-FR" sz="1100" b="1"/>
            <a:t>             9</a:t>
          </a:r>
        </a:p>
        <a:p xmlns:a="http://schemas.openxmlformats.org/drawingml/2006/main">
          <a:endParaRPr lang="fr-FR" sz="1100" b="1"/>
        </a:p>
        <a:p xmlns:a="http://schemas.openxmlformats.org/drawingml/2006/main">
          <a:endParaRPr lang="fr-FR" sz="1100" b="1"/>
        </a:p>
        <a:p xmlns:a="http://schemas.openxmlformats.org/drawingml/2006/main">
          <a:r>
            <a:rPr lang="fr-FR" sz="1100" b="1"/>
            <a:t>                 10</a:t>
          </a:r>
        </a:p>
        <a:p xmlns:a="http://schemas.openxmlformats.org/drawingml/2006/main">
          <a:endParaRPr lang="fr-FR" sz="1100" b="1"/>
        </a:p>
        <a:p xmlns:a="http://schemas.openxmlformats.org/drawingml/2006/main">
          <a:endParaRPr lang="fr-FR" sz="1100" b="1"/>
        </a:p>
        <a:p xmlns:a="http://schemas.openxmlformats.org/drawingml/2006/main">
          <a:endParaRPr lang="fr-FR" sz="1100" b="1"/>
        </a:p>
        <a:p xmlns:a="http://schemas.openxmlformats.org/drawingml/2006/main">
          <a:r>
            <a:rPr lang="fr-FR" sz="1100" b="1"/>
            <a:t>	11                  12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windowProtection="1" tabSelected="1" workbookViewId="0">
      <selection activeCell="D9" sqref="D9"/>
    </sheetView>
  </sheetViews>
  <sheetFormatPr baseColWidth="10" defaultRowHeight="15" x14ac:dyDescent="0.25"/>
  <cols>
    <col min="14" max="14" width="14.140625" customWidth="1"/>
    <col min="15" max="15" width="13.7109375" customWidth="1"/>
    <col min="16" max="16" width="14.7109375" customWidth="1"/>
    <col min="17" max="17" width="15.42578125" customWidth="1"/>
    <col min="18" max="18" width="15" customWidth="1"/>
  </cols>
  <sheetData>
    <row r="1" spans="1:18" s="126" customFormat="1" ht="21" x14ac:dyDescent="0.35">
      <c r="A1" s="125" t="s">
        <v>151</v>
      </c>
    </row>
    <row r="2" spans="1:18" ht="15.75" x14ac:dyDescent="0.25">
      <c r="B2" s="127"/>
      <c r="J2" s="128"/>
      <c r="K2" s="128"/>
      <c r="L2" s="129"/>
      <c r="Q2" s="128"/>
      <c r="R2" s="128"/>
    </row>
    <row r="3" spans="1:18" ht="15.75" x14ac:dyDescent="0.25">
      <c r="B3" s="127" t="s">
        <v>170</v>
      </c>
    </row>
    <row r="5" spans="1:18" ht="16.5" x14ac:dyDescent="0.3">
      <c r="B5" s="10" t="s">
        <v>152</v>
      </c>
      <c r="C5" s="10" t="s">
        <v>153</v>
      </c>
      <c r="D5" s="10" t="s">
        <v>154</v>
      </c>
      <c r="E5" s="2" t="s">
        <v>164</v>
      </c>
      <c r="F5" s="2" t="s">
        <v>163</v>
      </c>
      <c r="G5" s="10" t="s">
        <v>155</v>
      </c>
      <c r="H5" s="10" t="s">
        <v>156</v>
      </c>
      <c r="I5" s="2" t="s">
        <v>20</v>
      </c>
      <c r="J5" s="2" t="s">
        <v>2</v>
      </c>
      <c r="K5" s="151" t="s">
        <v>173</v>
      </c>
      <c r="L5" s="150" t="s">
        <v>174</v>
      </c>
      <c r="M5" s="150" t="s">
        <v>175</v>
      </c>
      <c r="N5" s="146"/>
      <c r="O5" s="146"/>
    </row>
    <row r="6" spans="1:18" ht="15.75" x14ac:dyDescent="0.25">
      <c r="B6" s="131"/>
      <c r="C6" s="131"/>
      <c r="D6" s="131"/>
      <c r="E6" s="132"/>
      <c r="F6" s="132"/>
      <c r="G6" s="132"/>
      <c r="H6" s="131"/>
      <c r="I6" s="133"/>
      <c r="J6" s="131"/>
      <c r="K6" s="151" t="e">
        <f>PI()-ATAN(D10/E10)</f>
        <v>#DIV/0!</v>
      </c>
      <c r="L6" s="149" t="e">
        <f>ATAN(D12/E12)</f>
        <v>#DIV/0!</v>
      </c>
      <c r="M6" s="149" t="e">
        <f>ATAN(D14/E14)</f>
        <v>#DIV/0!</v>
      </c>
      <c r="N6" s="146"/>
      <c r="O6" s="146"/>
    </row>
    <row r="7" spans="1:18" ht="15.75" x14ac:dyDescent="0.25">
      <c r="B7" s="134"/>
      <c r="C7" s="134"/>
      <c r="D7" s="134"/>
      <c r="E7" s="134"/>
      <c r="F7" s="134"/>
      <c r="G7" s="134"/>
      <c r="H7" s="134"/>
      <c r="I7" s="134"/>
      <c r="J7" s="134"/>
      <c r="K7" s="135"/>
      <c r="L7" s="121"/>
    </row>
    <row r="8" spans="1:18" ht="18.75" x14ac:dyDescent="0.35">
      <c r="B8" s="102" t="s">
        <v>14</v>
      </c>
      <c r="C8" s="155" t="s">
        <v>165</v>
      </c>
      <c r="D8" s="156" t="s">
        <v>166</v>
      </c>
      <c r="E8" s="156" t="s">
        <v>167</v>
      </c>
      <c r="F8" s="134"/>
      <c r="G8" s="134"/>
      <c r="I8" s="134"/>
      <c r="J8" s="134"/>
      <c r="K8" s="134"/>
      <c r="L8" s="134"/>
    </row>
    <row r="9" spans="1:18" ht="15.75" x14ac:dyDescent="0.25">
      <c r="B9" s="102">
        <v>1</v>
      </c>
      <c r="C9" s="63">
        <f t="shared" ref="C9:C17" si="0">(D9^2+E9^2)^0.5</f>
        <v>0</v>
      </c>
      <c r="D9" s="132"/>
      <c r="E9" s="132"/>
      <c r="F9" s="134"/>
      <c r="G9" s="134"/>
      <c r="I9" s="134"/>
      <c r="J9" s="134"/>
      <c r="K9" s="134"/>
      <c r="L9" s="134"/>
    </row>
    <row r="10" spans="1:18" ht="15.75" x14ac:dyDescent="0.25">
      <c r="B10" s="102">
        <v>2</v>
      </c>
      <c r="C10" s="63">
        <f t="shared" si="0"/>
        <v>0</v>
      </c>
      <c r="D10" s="132"/>
      <c r="E10" s="132"/>
      <c r="F10" s="134"/>
      <c r="G10" s="134"/>
      <c r="H10" s="134"/>
      <c r="I10" s="134"/>
      <c r="J10" s="134"/>
      <c r="K10" s="134"/>
      <c r="L10" s="134"/>
    </row>
    <row r="11" spans="1:18" ht="15.75" x14ac:dyDescent="0.25">
      <c r="B11" s="102">
        <v>3</v>
      </c>
      <c r="C11" s="63">
        <f t="shared" si="0"/>
        <v>0</v>
      </c>
      <c r="D11" s="132"/>
      <c r="E11" s="132"/>
      <c r="F11" s="134"/>
      <c r="G11" s="134"/>
      <c r="H11" s="134"/>
      <c r="I11" s="134"/>
      <c r="J11" s="134"/>
      <c r="K11" s="134"/>
      <c r="L11" s="134"/>
    </row>
    <row r="12" spans="1:18" ht="15.75" x14ac:dyDescent="0.25">
      <c r="B12" s="102">
        <v>4</v>
      </c>
      <c r="C12" s="63">
        <f t="shared" si="0"/>
        <v>0</v>
      </c>
      <c r="D12" s="132"/>
      <c r="E12" s="132"/>
      <c r="F12" s="134"/>
      <c r="G12" s="134"/>
      <c r="H12" s="134"/>
      <c r="I12" s="134"/>
      <c r="J12" s="134"/>
      <c r="K12" s="134"/>
      <c r="L12" s="134"/>
    </row>
    <row r="13" spans="1:18" ht="15.75" x14ac:dyDescent="0.25">
      <c r="B13" s="102">
        <v>5</v>
      </c>
      <c r="C13" s="63">
        <f t="shared" si="0"/>
        <v>0</v>
      </c>
      <c r="D13" s="132"/>
      <c r="E13" s="132"/>
      <c r="F13" s="134"/>
      <c r="G13" s="134"/>
      <c r="H13" s="134"/>
      <c r="I13" s="134"/>
      <c r="J13" s="134"/>
      <c r="K13" s="134"/>
      <c r="L13" s="134"/>
    </row>
    <row r="14" spans="1:18" ht="15.75" x14ac:dyDescent="0.25">
      <c r="B14" s="102">
        <v>6</v>
      </c>
      <c r="C14" s="63">
        <f t="shared" si="0"/>
        <v>0</v>
      </c>
      <c r="D14" s="132"/>
      <c r="E14" s="132"/>
      <c r="F14" s="134"/>
      <c r="G14" s="134"/>
      <c r="H14" s="134"/>
      <c r="I14" s="134"/>
      <c r="J14" s="134"/>
      <c r="K14" s="134"/>
      <c r="L14" s="134"/>
    </row>
    <row r="15" spans="1:18" ht="15.75" x14ac:dyDescent="0.25">
      <c r="B15" s="136">
        <v>7</v>
      </c>
      <c r="C15" s="63">
        <f t="shared" si="0"/>
        <v>0</v>
      </c>
      <c r="D15" s="132"/>
      <c r="E15" s="132"/>
      <c r="F15" s="134"/>
      <c r="G15" s="134"/>
      <c r="H15" s="134"/>
      <c r="I15" s="134"/>
      <c r="J15" s="134"/>
      <c r="K15" s="134"/>
      <c r="L15" s="134"/>
    </row>
    <row r="16" spans="1:18" ht="15.75" x14ac:dyDescent="0.25">
      <c r="B16" s="102">
        <v>8</v>
      </c>
      <c r="C16" s="63">
        <f t="shared" si="0"/>
        <v>0</v>
      </c>
      <c r="D16" s="132"/>
      <c r="E16" s="132"/>
      <c r="F16" s="134"/>
      <c r="G16" s="134"/>
      <c r="H16" s="134"/>
      <c r="I16" s="134"/>
      <c r="J16" s="134"/>
      <c r="K16" s="134"/>
      <c r="L16" s="134"/>
    </row>
    <row r="17" spans="2:12" ht="15.75" x14ac:dyDescent="0.25">
      <c r="B17" s="102">
        <v>9</v>
      </c>
      <c r="C17" s="63">
        <f t="shared" si="0"/>
        <v>0</v>
      </c>
      <c r="D17" s="132"/>
      <c r="E17" s="132"/>
      <c r="F17" s="134"/>
      <c r="G17" s="134"/>
      <c r="H17" s="134"/>
      <c r="I17" s="134"/>
      <c r="J17" s="134"/>
      <c r="K17" s="134"/>
      <c r="L17" s="134"/>
    </row>
    <row r="18" spans="2:12" ht="15.75" x14ac:dyDescent="0.25"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</row>
    <row r="19" spans="2:12" ht="15.75" x14ac:dyDescent="0.25"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</row>
    <row r="20" spans="2:12" ht="15.75" x14ac:dyDescent="0.25"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</row>
    <row r="21" spans="2:12" ht="15.75" x14ac:dyDescent="0.25"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</row>
    <row r="22" spans="2:12" ht="15.75" x14ac:dyDescent="0.25">
      <c r="B22" s="127" t="s">
        <v>171</v>
      </c>
    </row>
    <row r="25" spans="2:12" x14ac:dyDescent="0.25">
      <c r="C25" s="137" t="s">
        <v>157</v>
      </c>
      <c r="D25" s="3" t="e">
        <f>2*(E9+E10+E11)/(E6)</f>
        <v>#DIV/0!</v>
      </c>
    </row>
    <row r="26" spans="2:12" ht="16.5" x14ac:dyDescent="0.25">
      <c r="C26" s="108" t="s">
        <v>158</v>
      </c>
      <c r="D26" s="3" t="e">
        <f>L6*180/PI()</f>
        <v>#DIV/0!</v>
      </c>
    </row>
    <row r="27" spans="2:12" x14ac:dyDescent="0.25">
      <c r="C27" s="138" t="s">
        <v>159</v>
      </c>
      <c r="D27" s="3" t="e">
        <f>H6/(E6)</f>
        <v>#DIV/0!</v>
      </c>
    </row>
    <row r="28" spans="2:12" x14ac:dyDescent="0.25">
      <c r="C28" s="137" t="s">
        <v>160</v>
      </c>
      <c r="D28" s="3" t="e">
        <f>500*SIN(L6)</f>
        <v>#DIV/0!</v>
      </c>
    </row>
    <row r="29" spans="2:12" ht="18.75" x14ac:dyDescent="0.25">
      <c r="B29" s="139" t="s">
        <v>161</v>
      </c>
      <c r="C29" s="140" t="s">
        <v>162</v>
      </c>
      <c r="D29" s="3" t="e">
        <f>0.04*(E6)*J6/I6</f>
        <v>#DIV/0!</v>
      </c>
    </row>
    <row r="34" spans="2:10" ht="15.75" x14ac:dyDescent="0.25">
      <c r="B34" s="127" t="s">
        <v>176</v>
      </c>
    </row>
    <row r="36" spans="2:10" ht="20.25" x14ac:dyDescent="0.3">
      <c r="B36" s="154" t="s">
        <v>172</v>
      </c>
      <c r="C36" s="153" t="e">
        <f>'résistance_section (4)'!B40</f>
        <v>#DIV/0!</v>
      </c>
      <c r="D36" s="152" t="s">
        <v>98</v>
      </c>
      <c r="F36" s="5"/>
      <c r="H36" s="5"/>
    </row>
    <row r="37" spans="2:10" x14ac:dyDescent="0.25">
      <c r="E37" s="5"/>
      <c r="F37" s="5"/>
      <c r="G37" s="5"/>
    </row>
    <row r="38" spans="2:10" x14ac:dyDescent="0.25">
      <c r="E38" s="5"/>
      <c r="F38" s="5"/>
    </row>
    <row r="39" spans="2:10" x14ac:dyDescent="0.25">
      <c r="J39" s="5"/>
    </row>
    <row r="59" spans="5:5" x14ac:dyDescent="0.25">
      <c r="E59" s="130"/>
    </row>
  </sheetData>
  <sheetProtection password="DDF1" sheet="1" objects="1" scenarios="1" selectLockedCells="1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windowProtection="1" topLeftCell="A10" workbookViewId="0">
      <selection activeCell="E42" sqref="E42"/>
    </sheetView>
  </sheetViews>
  <sheetFormatPr baseColWidth="10" defaultRowHeight="15" x14ac:dyDescent="0.25"/>
  <cols>
    <col min="2" max="2" width="11.42578125" bestFit="1" customWidth="1"/>
    <col min="3" max="3" width="7.7109375" bestFit="1" customWidth="1"/>
    <col min="4" max="4" width="8.28515625" bestFit="1" customWidth="1"/>
    <col min="5" max="5" width="11.140625" customWidth="1"/>
    <col min="6" max="6" width="8.42578125" customWidth="1"/>
    <col min="7" max="7" width="10.28515625" bestFit="1" customWidth="1"/>
    <col min="8" max="8" width="7.42578125" bestFit="1" customWidth="1"/>
    <col min="11" max="11" width="14.85546875" bestFit="1" customWidth="1"/>
    <col min="12" max="12" width="17" customWidth="1"/>
    <col min="13" max="13" width="17" bestFit="1" customWidth="1"/>
    <col min="14" max="15" width="14.85546875" bestFit="1" customWidth="1"/>
    <col min="16" max="16" width="16.140625" bestFit="1" customWidth="1"/>
    <col min="17" max="17" width="17" bestFit="1" customWidth="1"/>
    <col min="18" max="18" width="14.85546875" bestFit="1" customWidth="1"/>
  </cols>
  <sheetData>
    <row r="2" spans="1:18" ht="16.5" x14ac:dyDescent="0.3">
      <c r="B2" s="2" t="s">
        <v>24</v>
      </c>
      <c r="C2" s="2" t="s">
        <v>21</v>
      </c>
      <c r="D2" s="2" t="s">
        <v>0</v>
      </c>
      <c r="E2" s="2" t="s">
        <v>2</v>
      </c>
      <c r="F2" s="10" t="s">
        <v>8</v>
      </c>
      <c r="G2" s="8"/>
      <c r="H2" s="8"/>
      <c r="I2" s="8"/>
      <c r="J2" s="8"/>
    </row>
    <row r="3" spans="1:18" x14ac:dyDescent="0.25">
      <c r="B3" s="7" t="e">
        <f>(données!C30+données!C31+données!C32+données!C33/2)*2</f>
        <v>#DIV/0!</v>
      </c>
      <c r="C3" s="7" t="e">
        <f>largeur_eff_semelle!B5</f>
        <v>#DIV/0!</v>
      </c>
      <c r="D3" s="2">
        <f>données!E3</f>
        <v>0</v>
      </c>
      <c r="E3" s="7">
        <f>données!H3</f>
        <v>0</v>
      </c>
      <c r="F3" s="12">
        <f>données!D6</f>
        <v>0</v>
      </c>
      <c r="G3" s="8"/>
      <c r="H3" s="8"/>
      <c r="I3" s="8"/>
      <c r="J3" s="8"/>
    </row>
    <row r="4" spans="1:18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8.75" x14ac:dyDescent="0.3">
      <c r="B5" s="13" t="s">
        <v>5</v>
      </c>
      <c r="C5" s="13" t="s">
        <v>44</v>
      </c>
      <c r="D5" s="13" t="s">
        <v>47</v>
      </c>
      <c r="E5" s="13" t="s">
        <v>45</v>
      </c>
      <c r="F5" s="13" t="s">
        <v>48</v>
      </c>
      <c r="G5" s="13" t="s">
        <v>46</v>
      </c>
      <c r="H5" s="13" t="s">
        <v>8</v>
      </c>
      <c r="I5" s="13" t="s">
        <v>49</v>
      </c>
      <c r="J5" s="8"/>
      <c r="K5" s="13" t="s">
        <v>35</v>
      </c>
      <c r="L5" s="13" t="s">
        <v>36</v>
      </c>
      <c r="M5" s="13" t="s">
        <v>37</v>
      </c>
      <c r="N5" s="13" t="s">
        <v>38</v>
      </c>
      <c r="O5" s="13" t="s">
        <v>39</v>
      </c>
      <c r="P5" s="13" t="s">
        <v>40</v>
      </c>
      <c r="Q5" s="13" t="s">
        <v>41</v>
      </c>
      <c r="R5" s="13"/>
    </row>
    <row r="6" spans="1:18" ht="18.75" x14ac:dyDescent="0.3">
      <c r="A6" s="4"/>
      <c r="B6" s="13" t="s">
        <v>81</v>
      </c>
      <c r="C6" s="14" t="e">
        <f>15*D3-données!I19</f>
        <v>#DIV/0!</v>
      </c>
      <c r="D6" s="14" t="e">
        <f>C6*$D$3</f>
        <v>#DIV/0!</v>
      </c>
      <c r="E6" s="14">
        <v>0</v>
      </c>
      <c r="F6" s="14" t="e">
        <f>D6*E6</f>
        <v>#DIV/0!</v>
      </c>
      <c r="G6" s="15" t="e">
        <f>$G$16-E6</f>
        <v>#DIV/0!</v>
      </c>
      <c r="H6" s="15">
        <f>D3</f>
        <v>0</v>
      </c>
      <c r="I6" s="7" t="e">
        <f>D6*H6^2/12+D6*G6^2</f>
        <v>#DIV/0!</v>
      </c>
      <c r="J6" s="8"/>
      <c r="K6" s="2" t="s">
        <v>42</v>
      </c>
      <c r="L6" s="2"/>
      <c r="M6" s="2" t="s">
        <v>43</v>
      </c>
      <c r="N6" s="2"/>
      <c r="O6" s="2" t="s">
        <v>101</v>
      </c>
      <c r="P6" s="2"/>
      <c r="Q6" s="2" t="s">
        <v>102</v>
      </c>
      <c r="R6" s="2"/>
    </row>
    <row r="7" spans="1:18" x14ac:dyDescent="0.25">
      <c r="A7" s="4"/>
      <c r="B7" s="13">
        <v>2</v>
      </c>
      <c r="C7" s="14" t="e">
        <f>données!C33</f>
        <v>#DIV/0!</v>
      </c>
      <c r="D7" s="14" t="e">
        <f t="shared" ref="D7:D15" si="0">C7*$D$3</f>
        <v>#DIV/0!</v>
      </c>
      <c r="E7" s="14" t="e">
        <f>données!I27</f>
        <v>#DIV/0!</v>
      </c>
      <c r="F7" s="14" t="e">
        <f t="shared" ref="F7:F15" si="1">D7*E7</f>
        <v>#DIV/0!</v>
      </c>
      <c r="G7" s="15" t="e">
        <f t="shared" ref="G7:G15" si="2">$G$16-E7</f>
        <v>#DIV/0!</v>
      </c>
      <c r="H7" s="15"/>
      <c r="I7" s="6" t="e">
        <f>D3*données!P$3^3*((données!I$17+SIN(données!I$17)*COS(données!I$17))/2-SIN(données!I$17)^2/données!I$17)+D7*G7^2</f>
        <v>#DIV/0!</v>
      </c>
      <c r="J7" s="8"/>
      <c r="K7" s="8"/>
      <c r="L7" s="8"/>
    </row>
    <row r="8" spans="1:18" x14ac:dyDescent="0.25">
      <c r="A8" s="4"/>
      <c r="B8" s="13">
        <v>3</v>
      </c>
      <c r="C8" s="14" t="e">
        <f>données!C32</f>
        <v>#DIV/0!</v>
      </c>
      <c r="D8" s="14" t="e">
        <f t="shared" si="0"/>
        <v>#DIV/0!</v>
      </c>
      <c r="E8" s="45">
        <f>données!N3/2</f>
        <v>0</v>
      </c>
      <c r="F8" s="14" t="e">
        <f t="shared" si="1"/>
        <v>#DIV/0!</v>
      </c>
      <c r="G8" s="15" t="e">
        <f t="shared" si="2"/>
        <v>#DIV/0!</v>
      </c>
      <c r="H8" s="15" t="e">
        <f>données!M32</f>
        <v>#DIV/0!</v>
      </c>
      <c r="I8" s="7" t="e">
        <f>D8*H8^2/12+D8*G8^2</f>
        <v>#DIV/0!</v>
      </c>
      <c r="J8" s="8"/>
      <c r="K8" s="8"/>
      <c r="L8" s="8"/>
    </row>
    <row r="9" spans="1:18" x14ac:dyDescent="0.25">
      <c r="A9" s="4"/>
      <c r="B9" s="13">
        <v>4</v>
      </c>
      <c r="C9" s="14" t="e">
        <f>données!C31</f>
        <v>#DIV/0!</v>
      </c>
      <c r="D9" s="14" t="e">
        <f t="shared" si="0"/>
        <v>#DIV/0!</v>
      </c>
      <c r="E9" s="16" t="e">
        <f>données!N3-données!I27</f>
        <v>#DIV/0!</v>
      </c>
      <c r="F9" s="14" t="e">
        <f t="shared" si="1"/>
        <v>#DIV/0!</v>
      </c>
      <c r="G9" s="15" t="e">
        <f t="shared" si="2"/>
        <v>#DIV/0!</v>
      </c>
      <c r="H9" s="15"/>
      <c r="I9" s="6" t="e">
        <f>D3*données!P$3^3*((données!L$17+SIN(données!L$17)*COS(données!L$17))/2-SIN(données!L$17)^2/données!L$17)+D9*G9^2</f>
        <v>#DIV/0!</v>
      </c>
      <c r="J9" s="8"/>
      <c r="K9" s="8"/>
      <c r="L9" s="8"/>
    </row>
    <row r="10" spans="1:18" x14ac:dyDescent="0.25">
      <c r="A10" s="4"/>
      <c r="B10" s="13">
        <v>5</v>
      </c>
      <c r="C10" s="14" t="e">
        <f>données!C30</f>
        <v>#DIV/0!</v>
      </c>
      <c r="D10" s="14" t="e">
        <f t="shared" si="0"/>
        <v>#DIV/0!</v>
      </c>
      <c r="E10" s="45">
        <f>données!N3</f>
        <v>0</v>
      </c>
      <c r="F10" s="14" t="e">
        <f t="shared" si="1"/>
        <v>#DIV/0!</v>
      </c>
      <c r="G10" s="15" t="e">
        <f t="shared" si="2"/>
        <v>#DIV/0!</v>
      </c>
      <c r="H10" s="15">
        <f>D3</f>
        <v>0</v>
      </c>
      <c r="I10" s="7" t="e">
        <f>D10*H10^2/12+D10*G10^2</f>
        <v>#DIV/0!</v>
      </c>
      <c r="J10" s="8"/>
      <c r="K10" s="8" t="s">
        <v>16</v>
      </c>
      <c r="L10" s="8" t="e">
        <f>F16/#REF!</f>
        <v>#DIV/0!</v>
      </c>
    </row>
    <row r="11" spans="1:18" x14ac:dyDescent="0.25">
      <c r="A11" s="4"/>
      <c r="B11" s="13">
        <v>6</v>
      </c>
      <c r="C11" s="14" t="e">
        <f>C10</f>
        <v>#DIV/0!</v>
      </c>
      <c r="D11" s="14" t="e">
        <f t="shared" si="0"/>
        <v>#DIV/0!</v>
      </c>
      <c r="E11" s="16">
        <f>E10</f>
        <v>0</v>
      </c>
      <c r="F11" s="14" t="e">
        <f t="shared" si="1"/>
        <v>#DIV/0!</v>
      </c>
      <c r="G11" s="15" t="e">
        <f t="shared" si="2"/>
        <v>#DIV/0!</v>
      </c>
      <c r="H11" s="15">
        <f>H10</f>
        <v>0</v>
      </c>
      <c r="I11" s="63" t="e">
        <f>I10</f>
        <v>#DIV/0!</v>
      </c>
      <c r="J11" s="8"/>
    </row>
    <row r="12" spans="1:18" x14ac:dyDescent="0.25">
      <c r="A12" s="4"/>
      <c r="B12" s="13">
        <v>7</v>
      </c>
      <c r="C12" s="14" t="e">
        <f>C9</f>
        <v>#DIV/0!</v>
      </c>
      <c r="D12" s="14" t="e">
        <f t="shared" si="0"/>
        <v>#DIV/0!</v>
      </c>
      <c r="E12" s="14" t="e">
        <f>E9</f>
        <v>#DIV/0!</v>
      </c>
      <c r="F12" s="14" t="e">
        <f t="shared" si="1"/>
        <v>#DIV/0!</v>
      </c>
      <c r="G12" s="15" t="e">
        <f t="shared" si="2"/>
        <v>#DIV/0!</v>
      </c>
      <c r="H12" s="14">
        <f>H9</f>
        <v>0</v>
      </c>
      <c r="I12" s="110" t="e">
        <f>I9</f>
        <v>#DIV/0!</v>
      </c>
      <c r="J12" s="8"/>
    </row>
    <row r="13" spans="1:18" x14ac:dyDescent="0.25">
      <c r="A13" s="4"/>
      <c r="B13" s="13">
        <v>8</v>
      </c>
      <c r="C13" s="14" t="e">
        <f>C8</f>
        <v>#DIV/0!</v>
      </c>
      <c r="D13" s="14" t="e">
        <f t="shared" si="0"/>
        <v>#DIV/0!</v>
      </c>
      <c r="E13" s="14">
        <f>E8</f>
        <v>0</v>
      </c>
      <c r="F13" s="14" t="e">
        <f t="shared" si="1"/>
        <v>#DIV/0!</v>
      </c>
      <c r="G13" s="15" t="e">
        <f t="shared" si="2"/>
        <v>#DIV/0!</v>
      </c>
      <c r="H13" s="14" t="e">
        <f>H8</f>
        <v>#DIV/0!</v>
      </c>
      <c r="I13" s="111" t="e">
        <f>I8</f>
        <v>#DIV/0!</v>
      </c>
      <c r="J13" s="8"/>
    </row>
    <row r="14" spans="1:18" x14ac:dyDescent="0.25">
      <c r="A14" s="4"/>
      <c r="B14" s="13">
        <v>9</v>
      </c>
      <c r="C14" s="14" t="e">
        <f>C7</f>
        <v>#DIV/0!</v>
      </c>
      <c r="D14" s="14" t="e">
        <f t="shared" si="0"/>
        <v>#DIV/0!</v>
      </c>
      <c r="E14" s="14" t="e">
        <f>E7</f>
        <v>#DIV/0!</v>
      </c>
      <c r="F14" s="14" t="e">
        <f t="shared" si="1"/>
        <v>#DIV/0!</v>
      </c>
      <c r="G14" s="15" t="e">
        <f t="shared" si="2"/>
        <v>#DIV/0!</v>
      </c>
      <c r="H14" s="14">
        <f>H7</f>
        <v>0</v>
      </c>
      <c r="I14" s="112" t="e">
        <f>I7</f>
        <v>#DIV/0!</v>
      </c>
      <c r="J14" s="8"/>
    </row>
    <row r="15" spans="1:18" x14ac:dyDescent="0.25">
      <c r="B15" s="13" t="s">
        <v>82</v>
      </c>
      <c r="C15" s="14" t="e">
        <f>15*D3-données!I19</f>
        <v>#DIV/0!</v>
      </c>
      <c r="D15" s="14" t="e">
        <f t="shared" si="0"/>
        <v>#DIV/0!</v>
      </c>
      <c r="E15" s="14">
        <v>0</v>
      </c>
      <c r="F15" s="14" t="e">
        <f t="shared" si="1"/>
        <v>#DIV/0!</v>
      </c>
      <c r="G15" s="15" t="e">
        <f t="shared" si="2"/>
        <v>#DIV/0!</v>
      </c>
      <c r="H15" s="15">
        <f>données!M34</f>
        <v>0</v>
      </c>
      <c r="I15" s="7" t="e">
        <f>D15*H15^2/12+D15*G15^2</f>
        <v>#DIV/0!</v>
      </c>
      <c r="J15" s="8"/>
    </row>
    <row r="16" spans="1:18" x14ac:dyDescent="0.25">
      <c r="B16" s="25" t="s">
        <v>6</v>
      </c>
      <c r="C16" s="16"/>
      <c r="D16" s="26" t="e">
        <f>SUM(D6:D15)</f>
        <v>#DIV/0!</v>
      </c>
      <c r="E16" s="17"/>
      <c r="F16" s="14" t="e">
        <f>SUM(F6:F15)</f>
        <v>#DIV/0!</v>
      </c>
      <c r="G16" s="17" t="e">
        <f>F16/D16</f>
        <v>#DIV/0!</v>
      </c>
      <c r="H16" s="17"/>
      <c r="I16" s="7" t="e">
        <f>SUM(I6:I15)</f>
        <v>#DIV/0!</v>
      </c>
      <c r="J16" s="8"/>
    </row>
    <row r="17" spans="1:18" x14ac:dyDescent="0.25">
      <c r="B17" s="18"/>
      <c r="C17" s="17"/>
      <c r="D17" s="17"/>
      <c r="E17" s="17"/>
      <c r="F17" s="17"/>
      <c r="G17" s="17"/>
      <c r="H17" s="17"/>
      <c r="I17" s="121"/>
      <c r="J17" s="8"/>
    </row>
    <row r="18" spans="1:18" ht="16.5" x14ac:dyDescent="0.3">
      <c r="B18" s="13" t="s">
        <v>5</v>
      </c>
      <c r="C18" s="13" t="s">
        <v>44</v>
      </c>
      <c r="D18" s="13" t="s">
        <v>47</v>
      </c>
      <c r="E18" s="13"/>
      <c r="F18" s="13"/>
      <c r="G18" s="13"/>
      <c r="H18" s="13"/>
      <c r="I18" s="13"/>
      <c r="J18" s="8"/>
      <c r="K18" s="13" t="s">
        <v>35</v>
      </c>
      <c r="L18" s="13" t="s">
        <v>36</v>
      </c>
      <c r="M18" s="13" t="s">
        <v>37</v>
      </c>
      <c r="N18" s="13" t="s">
        <v>38</v>
      </c>
      <c r="O18" s="13" t="s">
        <v>39</v>
      </c>
      <c r="P18" s="13" t="s">
        <v>40</v>
      </c>
      <c r="Q18" s="13" t="s">
        <v>41</v>
      </c>
      <c r="R18" s="13"/>
    </row>
    <row r="19" spans="1:18" ht="18.75" x14ac:dyDescent="0.3">
      <c r="A19" s="4"/>
      <c r="B19" s="13" t="s">
        <v>81</v>
      </c>
      <c r="C19" s="14" t="e">
        <f>'largeur_eff_semelle (2)'!O5-données!I19</f>
        <v>#DIV/0!</v>
      </c>
      <c r="D19" s="14" t="e">
        <f>C19*$D$3</f>
        <v>#DIV/0!</v>
      </c>
      <c r="E19" s="14"/>
      <c r="F19" s="14"/>
      <c r="G19" s="15"/>
      <c r="H19" s="15"/>
      <c r="I19" s="12"/>
      <c r="J19" s="8"/>
      <c r="K19" s="2" t="s">
        <v>42</v>
      </c>
      <c r="L19" s="2"/>
      <c r="M19" s="2" t="s">
        <v>43</v>
      </c>
      <c r="N19" s="2"/>
      <c r="O19" s="2" t="s">
        <v>101</v>
      </c>
      <c r="P19" s="2"/>
      <c r="Q19" s="2" t="s">
        <v>102</v>
      </c>
      <c r="R19" s="2"/>
    </row>
    <row r="20" spans="1:18" x14ac:dyDescent="0.25">
      <c r="A20" s="4"/>
      <c r="B20" s="13">
        <v>2</v>
      </c>
      <c r="C20" s="14" t="e">
        <f>C7</f>
        <v>#DIV/0!</v>
      </c>
      <c r="D20" s="14" t="e">
        <f t="shared" ref="D20:D28" si="3">C20*$D$3</f>
        <v>#DIV/0!</v>
      </c>
      <c r="E20" s="14"/>
      <c r="F20" s="14"/>
      <c r="G20" s="15"/>
      <c r="H20" s="15"/>
      <c r="I20" s="6"/>
      <c r="J20" s="8"/>
      <c r="K20" s="8"/>
      <c r="L20" s="8"/>
    </row>
    <row r="21" spans="1:18" x14ac:dyDescent="0.25">
      <c r="A21" s="4"/>
      <c r="B21" s="13">
        <v>3</v>
      </c>
      <c r="C21" s="14" t="e">
        <f t="shared" ref="C21:C27" si="4">C8</f>
        <v>#DIV/0!</v>
      </c>
      <c r="D21" s="14" t="e">
        <f t="shared" si="3"/>
        <v>#DIV/0!</v>
      </c>
      <c r="E21" s="45"/>
      <c r="F21" s="14"/>
      <c r="G21" s="15"/>
      <c r="H21" s="15"/>
      <c r="I21" s="7"/>
      <c r="J21" s="8"/>
      <c r="K21" s="8"/>
      <c r="L21" s="8"/>
    </row>
    <row r="22" spans="1:18" x14ac:dyDescent="0.25">
      <c r="A22" s="4"/>
      <c r="B22" s="13">
        <v>4</v>
      </c>
      <c r="C22" s="14" t="e">
        <f t="shared" si="4"/>
        <v>#DIV/0!</v>
      </c>
      <c r="D22" s="14" t="e">
        <f t="shared" si="3"/>
        <v>#DIV/0!</v>
      </c>
      <c r="E22" s="16"/>
      <c r="F22" s="14"/>
      <c r="G22" s="15"/>
      <c r="H22" s="15"/>
      <c r="I22" s="6"/>
      <c r="J22" s="8"/>
      <c r="K22" s="8"/>
      <c r="L22" s="8"/>
    </row>
    <row r="23" spans="1:18" x14ac:dyDescent="0.25">
      <c r="A23" s="4"/>
      <c r="B23" s="13">
        <v>5</v>
      </c>
      <c r="C23" s="14" t="e">
        <f t="shared" si="4"/>
        <v>#DIV/0!</v>
      </c>
      <c r="D23" s="14" t="e">
        <f t="shared" si="3"/>
        <v>#DIV/0!</v>
      </c>
      <c r="E23" s="45"/>
      <c r="F23" s="14"/>
      <c r="G23" s="15"/>
      <c r="H23" s="15"/>
      <c r="I23" s="7"/>
      <c r="J23" s="8"/>
      <c r="K23" s="8" t="s">
        <v>16</v>
      </c>
      <c r="L23" s="8" t="e">
        <f>F29/#REF!</f>
        <v>#REF!</v>
      </c>
    </row>
    <row r="24" spans="1:18" x14ac:dyDescent="0.25">
      <c r="A24" s="4"/>
      <c r="B24" s="13">
        <v>6</v>
      </c>
      <c r="C24" s="14" t="e">
        <f t="shared" si="4"/>
        <v>#DIV/0!</v>
      </c>
      <c r="D24" s="14" t="e">
        <f t="shared" si="3"/>
        <v>#DIV/0!</v>
      </c>
      <c r="E24" s="16"/>
      <c r="F24" s="14"/>
      <c r="G24" s="15"/>
      <c r="H24" s="15"/>
      <c r="I24" s="63"/>
      <c r="J24" s="8"/>
    </row>
    <row r="25" spans="1:18" x14ac:dyDescent="0.25">
      <c r="A25" s="4"/>
      <c r="B25" s="13">
        <v>7</v>
      </c>
      <c r="C25" s="14" t="e">
        <f t="shared" si="4"/>
        <v>#DIV/0!</v>
      </c>
      <c r="D25" s="14" t="e">
        <f t="shared" si="3"/>
        <v>#DIV/0!</v>
      </c>
      <c r="E25" s="14"/>
      <c r="F25" s="14"/>
      <c r="G25" s="15"/>
      <c r="H25" s="14"/>
      <c r="I25" s="110"/>
      <c r="J25" s="8"/>
    </row>
    <row r="26" spans="1:18" x14ac:dyDescent="0.25">
      <c r="A26" s="4"/>
      <c r="B26" s="13">
        <v>8</v>
      </c>
      <c r="C26" s="14" t="e">
        <f t="shared" si="4"/>
        <v>#DIV/0!</v>
      </c>
      <c r="D26" s="14" t="e">
        <f t="shared" si="3"/>
        <v>#DIV/0!</v>
      </c>
      <c r="E26" s="14"/>
      <c r="F26" s="14"/>
      <c r="G26" s="15"/>
      <c r="H26" s="14"/>
      <c r="I26" s="111"/>
      <c r="J26" s="8"/>
    </row>
    <row r="27" spans="1:18" x14ac:dyDescent="0.25">
      <c r="A27" s="4"/>
      <c r="B27" s="13">
        <v>9</v>
      </c>
      <c r="C27" s="14" t="e">
        <f t="shared" si="4"/>
        <v>#DIV/0!</v>
      </c>
      <c r="D27" s="14" t="e">
        <f t="shared" si="3"/>
        <v>#DIV/0!</v>
      </c>
      <c r="E27" s="14"/>
      <c r="F27" s="14"/>
      <c r="G27" s="15"/>
      <c r="H27" s="14"/>
      <c r="I27" s="112"/>
      <c r="J27" s="8"/>
    </row>
    <row r="28" spans="1:18" x14ac:dyDescent="0.25">
      <c r="B28" s="13" t="s">
        <v>82</v>
      </c>
      <c r="C28" s="14" t="e">
        <f>'largeur_eff_semelle (2)'!O5-données!I19</f>
        <v>#DIV/0!</v>
      </c>
      <c r="D28" s="14" t="e">
        <f t="shared" si="3"/>
        <v>#DIV/0!</v>
      </c>
      <c r="E28" s="14"/>
      <c r="F28" s="14"/>
      <c r="G28" s="15"/>
      <c r="H28" s="15"/>
      <c r="I28" s="66"/>
      <c r="J28" s="8"/>
    </row>
    <row r="29" spans="1:18" x14ac:dyDescent="0.25">
      <c r="B29" s="25" t="s">
        <v>6</v>
      </c>
      <c r="C29" s="16"/>
      <c r="D29" s="26" t="e">
        <f>SUM(D19:D28)</f>
        <v>#DIV/0!</v>
      </c>
      <c r="E29" s="17"/>
      <c r="F29" s="14"/>
      <c r="G29" s="17"/>
      <c r="H29" s="17"/>
      <c r="I29" s="7"/>
      <c r="J29" s="8"/>
    </row>
    <row r="30" spans="1:18" x14ac:dyDescent="0.25">
      <c r="B30" s="18"/>
      <c r="C30" s="17"/>
      <c r="D30" s="17"/>
      <c r="E30" s="17"/>
      <c r="F30" s="17"/>
      <c r="G30" s="17"/>
      <c r="H30" s="17"/>
      <c r="I30" s="121"/>
      <c r="J30" s="8"/>
    </row>
    <row r="31" spans="1:18" x14ac:dyDescent="0.25">
      <c r="B31" s="18"/>
      <c r="C31" s="18"/>
      <c r="D31" s="18"/>
      <c r="E31" s="18"/>
      <c r="F31" s="18"/>
      <c r="G31" s="18"/>
      <c r="H31" s="19"/>
      <c r="I31" s="19"/>
      <c r="J31" s="19"/>
      <c r="K31" s="8"/>
      <c r="L31" s="8"/>
    </row>
    <row r="32" spans="1:18" ht="16.5" x14ac:dyDescent="0.3">
      <c r="B32" s="2" t="s">
        <v>111</v>
      </c>
      <c r="C32" s="2"/>
      <c r="D32" s="2" t="s">
        <v>25</v>
      </c>
      <c r="E32" s="2" t="s">
        <v>26</v>
      </c>
      <c r="F32" s="2" t="s">
        <v>27</v>
      </c>
      <c r="G32" s="2" t="s">
        <v>28</v>
      </c>
      <c r="H32" s="2" t="s">
        <v>107</v>
      </c>
      <c r="I32" s="2" t="s">
        <v>29</v>
      </c>
      <c r="J32" s="8"/>
      <c r="K32" s="8"/>
      <c r="L32" s="8"/>
    </row>
    <row r="33" spans="2:12" x14ac:dyDescent="0.25">
      <c r="B33" s="7" t="e">
        <f>2*C3+B3</f>
        <v>#DIV/0!</v>
      </c>
      <c r="C33" s="7"/>
      <c r="D33" s="7">
        <f>données!D15</f>
        <v>0</v>
      </c>
      <c r="E33" s="7" t="e">
        <f>données!M3</f>
        <v>#DIV/0!</v>
      </c>
      <c r="F33" s="7" t="e">
        <f>3.07*(I16*C3^2*(2*C3+3*B3)/D3^3)^0.25</f>
        <v>#DIV/0!</v>
      </c>
      <c r="G33" s="7" t="e">
        <f>F33/E33</f>
        <v>#DIV/0!</v>
      </c>
      <c r="H33" s="7" t="e">
        <f>((E33+2*B33)/(E33+0.5*B33))^0.5</f>
        <v>#DIV/0!</v>
      </c>
      <c r="I33" s="67" t="e">
        <f>IF(G33&gt;2,H33,(H33-(H33-1)*(2*F33/E33-(F33/E33)^2)))</f>
        <v>#DIV/0!</v>
      </c>
      <c r="J33" s="8"/>
      <c r="K33" s="8"/>
      <c r="L33" s="8"/>
    </row>
    <row r="34" spans="2:12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2:12" ht="16.5" x14ac:dyDescent="0.3">
      <c r="B35" s="2" t="s">
        <v>50</v>
      </c>
      <c r="C35" s="8"/>
      <c r="D35" s="8"/>
      <c r="E35" s="8"/>
      <c r="F35" s="8"/>
      <c r="G35" s="8"/>
      <c r="H35" s="8"/>
      <c r="I35" s="8"/>
      <c r="J35" s="8"/>
      <c r="K35" s="8"/>
    </row>
    <row r="36" spans="2:12" x14ac:dyDescent="0.25">
      <c r="B36" s="7" t="e">
        <f>4.2*I33*E3/D29*(I16*D3^3/4/C3^2/(2*C3+3*B3))^0.5</f>
        <v>#DIV/0!</v>
      </c>
      <c r="C36" s="8"/>
      <c r="D36" s="8"/>
      <c r="E36" s="8"/>
      <c r="F36" s="8"/>
      <c r="G36" s="8"/>
      <c r="H36" s="8"/>
      <c r="I36" s="8"/>
      <c r="J36" s="8"/>
      <c r="K36" s="8"/>
    </row>
    <row r="38" spans="2:12" ht="16.5" x14ac:dyDescent="0.3">
      <c r="B38" s="2" t="s">
        <v>20</v>
      </c>
      <c r="C38" s="2" t="s">
        <v>10</v>
      </c>
      <c r="D38" s="2" t="s">
        <v>108</v>
      </c>
      <c r="E38" s="2" t="s">
        <v>109</v>
      </c>
    </row>
    <row r="39" spans="2:12" x14ac:dyDescent="0.25">
      <c r="B39" s="6">
        <f>données!G3</f>
        <v>0</v>
      </c>
      <c r="C39" s="11" t="e">
        <f>(B39/B36)^0.5</f>
        <v>#DIV/0!</v>
      </c>
      <c r="D39" t="e">
        <f>IF(C39&lt;0.65,1,(1.47-0.723*C39))</f>
        <v>#DIV/0!</v>
      </c>
      <c r="E39" t="e">
        <f>IF(C39&gt;1.38,0.66/C39,D39)</f>
        <v>#DIV/0!</v>
      </c>
    </row>
    <row r="41" spans="2:12" ht="16.5" x14ac:dyDescent="0.3">
      <c r="B41" s="7" t="s">
        <v>11</v>
      </c>
      <c r="C41" s="13" t="s">
        <v>56</v>
      </c>
      <c r="E41" s="2" t="s">
        <v>142</v>
      </c>
    </row>
    <row r="42" spans="2:12" x14ac:dyDescent="0.25">
      <c r="B42" s="68" t="e">
        <f>E39</f>
        <v>#DIV/0!</v>
      </c>
      <c r="C42" s="14" t="e">
        <f>B42*données!E3</f>
        <v>#DIV/0!</v>
      </c>
      <c r="E42" t="e">
        <f>B39/'largeur_eff_semelle (2)'!K5/'largeur_eff_semelle (2)'!J5</f>
        <v>#DIV/0!</v>
      </c>
      <c r="G42" s="74" t="e">
        <f>B42*E42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windowProtection="1" workbookViewId="0">
      <selection activeCell="M11" sqref="M11"/>
    </sheetView>
  </sheetViews>
  <sheetFormatPr baseColWidth="10" defaultRowHeight="15" x14ac:dyDescent="0.25"/>
  <cols>
    <col min="2" max="2" width="5.42578125" bestFit="1" customWidth="1"/>
    <col min="3" max="3" width="4.42578125" bestFit="1" customWidth="1"/>
    <col min="4" max="4" width="11.28515625" bestFit="1" customWidth="1"/>
    <col min="5" max="5" width="10.28515625" bestFit="1" customWidth="1"/>
    <col min="6" max="6" width="4.42578125" bestFit="1" customWidth="1"/>
    <col min="7" max="7" width="6.85546875" customWidth="1"/>
    <col min="8" max="8" width="4.42578125" customWidth="1"/>
    <col min="9" max="9" width="5.42578125" bestFit="1" customWidth="1"/>
    <col min="10" max="10" width="7.140625" customWidth="1"/>
    <col min="11" max="11" width="5.42578125" customWidth="1"/>
    <col min="12" max="12" width="7.7109375" customWidth="1"/>
    <col min="13" max="13" width="5.42578125" bestFit="1" customWidth="1"/>
    <col min="14" max="14" width="7.85546875" bestFit="1" customWidth="1"/>
    <col min="15" max="15" width="8.42578125" bestFit="1" customWidth="1"/>
  </cols>
  <sheetData>
    <row r="2" spans="2:15" x14ac:dyDescent="0.25">
      <c r="B2" s="8" t="s">
        <v>138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6.5" x14ac:dyDescent="0.3">
      <c r="B4" s="2" t="s">
        <v>21</v>
      </c>
      <c r="C4" s="2" t="s">
        <v>0</v>
      </c>
      <c r="D4" s="2" t="s">
        <v>20</v>
      </c>
      <c r="E4" s="2" t="s">
        <v>2</v>
      </c>
      <c r="F4" s="2" t="s">
        <v>1</v>
      </c>
      <c r="G4" s="42" t="s">
        <v>80</v>
      </c>
      <c r="H4" s="39" t="s">
        <v>76</v>
      </c>
      <c r="I4" s="2" t="s">
        <v>22</v>
      </c>
      <c r="J4" s="40" t="s">
        <v>78</v>
      </c>
      <c r="K4" s="41" t="s">
        <v>79</v>
      </c>
      <c r="L4" s="2" t="s">
        <v>77</v>
      </c>
      <c r="M4" s="2" t="s">
        <v>3</v>
      </c>
      <c r="N4" s="10" t="s">
        <v>23</v>
      </c>
      <c r="O4" s="10" t="s">
        <v>139</v>
      </c>
    </row>
    <row r="5" spans="2:15" x14ac:dyDescent="0.25">
      <c r="B5" s="7" t="e">
        <f>données!$C$8-données!$C$20-données!$I$18</f>
        <v>#DIV/0!</v>
      </c>
      <c r="C5" s="7">
        <f>données!$E$3</f>
        <v>0</v>
      </c>
      <c r="D5" s="37">
        <f>données!$G$3</f>
        <v>0</v>
      </c>
      <c r="E5" s="7">
        <f>données!H$3</f>
        <v>0</v>
      </c>
      <c r="F5" s="7">
        <v>4</v>
      </c>
      <c r="G5" s="7">
        <v>1</v>
      </c>
      <c r="H5" s="7" t="e">
        <f>(235/D5)^0.5</f>
        <v>#DIV/0!</v>
      </c>
      <c r="I5" s="11" t="e">
        <f>B5/C5/28.4/H5/(F5)^0.5</f>
        <v>#DIV/0!</v>
      </c>
      <c r="J5" s="11" t="e">
        <f>'raidisseur (2)'!B42*MIN(D5,D5*(données!L$3-résistance_section!H32)/résistance_section!H32)</f>
        <v>#DIV/0!</v>
      </c>
      <c r="K5" s="11">
        <v>1</v>
      </c>
      <c r="L5" s="11" t="e">
        <f>I5*SQRT(J5/D5/K5)</f>
        <v>#DIV/0!</v>
      </c>
      <c r="M5" s="11" t="e">
        <f>IF(L5&gt;0.673,(L5-0.055*(3+G5))/L5^2+0.18*(I5-L5)/(I5-0.6),1)</f>
        <v>#DIV/0!</v>
      </c>
      <c r="N5" s="7" t="e">
        <f>M5*B5</f>
        <v>#DIV/0!</v>
      </c>
      <c r="O5" s="65" t="e">
        <f>N5/2</f>
        <v>#DIV/0!</v>
      </c>
    </row>
    <row r="6" spans="2:15" x14ac:dyDescent="0.25">
      <c r="B6" s="8"/>
      <c r="C6" s="8"/>
      <c r="D6" s="3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5" x14ac:dyDescent="0.25">
      <c r="B7" s="8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2:15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2:15" ht="16.5" x14ac:dyDescent="0.3">
      <c r="B9" s="2" t="s">
        <v>21</v>
      </c>
      <c r="C9" s="2" t="s">
        <v>0</v>
      </c>
      <c r="D9" s="2" t="s">
        <v>20</v>
      </c>
      <c r="E9" s="2" t="s">
        <v>2</v>
      </c>
      <c r="F9" s="2" t="s">
        <v>1</v>
      </c>
      <c r="G9" s="42" t="s">
        <v>80</v>
      </c>
      <c r="H9" s="39" t="s">
        <v>76</v>
      </c>
      <c r="I9" s="2" t="s">
        <v>22</v>
      </c>
      <c r="J9" s="40" t="s">
        <v>78</v>
      </c>
      <c r="K9" s="41" t="s">
        <v>79</v>
      </c>
      <c r="L9" s="2" t="s">
        <v>77</v>
      </c>
      <c r="M9" s="2" t="s">
        <v>3</v>
      </c>
      <c r="N9" s="10" t="s">
        <v>23</v>
      </c>
      <c r="O9" s="10" t="s">
        <v>140</v>
      </c>
    </row>
    <row r="10" spans="2:15" x14ac:dyDescent="0.25">
      <c r="B10" s="7" t="e">
        <f>données!$C$8-données!$C$20-données!$I$18</f>
        <v>#DIV/0!</v>
      </c>
      <c r="C10" s="7">
        <f>données!$E$3</f>
        <v>0</v>
      </c>
      <c r="D10" s="37">
        <f>données!$G$3</f>
        <v>0</v>
      </c>
      <c r="E10" s="7">
        <f>données!H$3</f>
        <v>0</v>
      </c>
      <c r="F10" s="7">
        <v>4</v>
      </c>
      <c r="G10" s="7">
        <v>1</v>
      </c>
      <c r="H10" s="7" t="e">
        <f>(235/D10)^0.5</f>
        <v>#DIV/0!</v>
      </c>
      <c r="I10" s="11" t="e">
        <f>B10/C10/28.4/H10/(F10)^0.5</f>
        <v>#DIV/0!</v>
      </c>
      <c r="J10" s="11" t="e">
        <f>MIN(D10,D10*(données!L$3-résistance_section!H32)/résistance_section!H32)</f>
        <v>#DIV/0!</v>
      </c>
      <c r="K10" s="11">
        <v>1</v>
      </c>
      <c r="L10" s="11" t="e">
        <f>I10*SQRT(J10/D10/K10)</f>
        <v>#DIV/0!</v>
      </c>
      <c r="M10" s="11" t="e">
        <f>IF(L10&gt;0.673,(L10-0.055*(3+G10))/L10^2+0.18*(I10-L10)/(I10-0.6),1)</f>
        <v>#DIV/0!</v>
      </c>
      <c r="N10" s="7" t="e">
        <f>M10*B10</f>
        <v>#DIV/0!</v>
      </c>
      <c r="O10" s="65" t="e">
        <f>MAX(N10/2,données!C21)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windowProtection="1" workbookViewId="0">
      <selection activeCell="E42" sqref="E42"/>
    </sheetView>
  </sheetViews>
  <sheetFormatPr baseColWidth="10" defaultRowHeight="15" x14ac:dyDescent="0.25"/>
  <cols>
    <col min="2" max="2" width="11.42578125" bestFit="1" customWidth="1"/>
    <col min="3" max="3" width="7.7109375" bestFit="1" customWidth="1"/>
    <col min="4" max="4" width="8.28515625" bestFit="1" customWidth="1"/>
    <col min="5" max="5" width="11.140625" customWidth="1"/>
    <col min="6" max="6" width="8.42578125" customWidth="1"/>
    <col min="7" max="7" width="10.28515625" bestFit="1" customWidth="1"/>
    <col min="8" max="8" width="7.42578125" bestFit="1" customWidth="1"/>
    <col min="11" max="11" width="14.85546875" bestFit="1" customWidth="1"/>
    <col min="12" max="12" width="17" customWidth="1"/>
    <col min="13" max="13" width="17" bestFit="1" customWidth="1"/>
    <col min="14" max="15" width="14.85546875" bestFit="1" customWidth="1"/>
    <col min="16" max="16" width="16.140625" bestFit="1" customWidth="1"/>
    <col min="17" max="17" width="17" bestFit="1" customWidth="1"/>
    <col min="18" max="18" width="14.85546875" bestFit="1" customWidth="1"/>
  </cols>
  <sheetData>
    <row r="2" spans="1:18" ht="16.5" x14ac:dyDescent="0.3">
      <c r="B2" s="2" t="s">
        <v>24</v>
      </c>
      <c r="C2" s="2" t="s">
        <v>21</v>
      </c>
      <c r="D2" s="2" t="s">
        <v>0</v>
      </c>
      <c r="E2" s="2" t="s">
        <v>2</v>
      </c>
      <c r="F2" s="10" t="s">
        <v>8</v>
      </c>
      <c r="G2" s="8"/>
      <c r="H2" s="8"/>
      <c r="I2" s="8"/>
      <c r="J2" s="8"/>
    </row>
    <row r="3" spans="1:18" x14ac:dyDescent="0.25">
      <c r="B3" s="7" t="e">
        <f>(données!C30+données!C31+données!C32+données!C33/2)*2</f>
        <v>#DIV/0!</v>
      </c>
      <c r="C3" s="7" t="e">
        <f>largeur_eff_semelle!B5</f>
        <v>#DIV/0!</v>
      </c>
      <c r="D3" s="2">
        <f>données!E3</f>
        <v>0</v>
      </c>
      <c r="E3" s="7">
        <f>données!H3</f>
        <v>0</v>
      </c>
      <c r="F3" s="12">
        <f>données!D6</f>
        <v>0</v>
      </c>
      <c r="G3" s="8"/>
      <c r="H3" s="8"/>
      <c r="I3" s="8"/>
      <c r="J3" s="8"/>
    </row>
    <row r="4" spans="1:18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8.75" x14ac:dyDescent="0.3">
      <c r="B5" s="13" t="s">
        <v>5</v>
      </c>
      <c r="C5" s="13" t="s">
        <v>44</v>
      </c>
      <c r="D5" s="13" t="s">
        <v>47</v>
      </c>
      <c r="E5" s="13" t="s">
        <v>45</v>
      </c>
      <c r="F5" s="13" t="s">
        <v>48</v>
      </c>
      <c r="G5" s="13" t="s">
        <v>46</v>
      </c>
      <c r="H5" s="13" t="s">
        <v>8</v>
      </c>
      <c r="I5" s="13" t="s">
        <v>49</v>
      </c>
      <c r="J5" s="8"/>
      <c r="K5" s="13" t="s">
        <v>35</v>
      </c>
      <c r="L5" s="13" t="s">
        <v>36</v>
      </c>
      <c r="M5" s="13" t="s">
        <v>37</v>
      </c>
      <c r="N5" s="13" t="s">
        <v>38</v>
      </c>
      <c r="O5" s="13" t="s">
        <v>39</v>
      </c>
      <c r="P5" s="13" t="s">
        <v>40</v>
      </c>
      <c r="Q5" s="13" t="s">
        <v>41</v>
      </c>
      <c r="R5" s="13"/>
    </row>
    <row r="6" spans="1:18" ht="18.75" x14ac:dyDescent="0.3">
      <c r="A6" s="4"/>
      <c r="B6" s="13" t="s">
        <v>81</v>
      </c>
      <c r="C6" s="14" t="e">
        <f>15*D3-données!I19</f>
        <v>#DIV/0!</v>
      </c>
      <c r="D6" s="14" t="e">
        <f>C6*$D$3</f>
        <v>#DIV/0!</v>
      </c>
      <c r="E6" s="14">
        <v>0</v>
      </c>
      <c r="F6" s="14" t="e">
        <f>D6*E6</f>
        <v>#DIV/0!</v>
      </c>
      <c r="G6" s="15" t="e">
        <f>$G$16-E6</f>
        <v>#DIV/0!</v>
      </c>
      <c r="H6" s="15">
        <f>D3</f>
        <v>0</v>
      </c>
      <c r="I6" s="7" t="e">
        <f>D6*H6^2/12+D6*G6^2</f>
        <v>#DIV/0!</v>
      </c>
      <c r="J6" s="8"/>
      <c r="K6" s="2" t="s">
        <v>42</v>
      </c>
      <c r="L6" s="2"/>
      <c r="M6" s="2" t="s">
        <v>43</v>
      </c>
      <c r="N6" s="2"/>
      <c r="O6" s="2" t="s">
        <v>101</v>
      </c>
      <c r="P6" s="2"/>
      <c r="Q6" s="2" t="s">
        <v>102</v>
      </c>
      <c r="R6" s="2"/>
    </row>
    <row r="7" spans="1:18" x14ac:dyDescent="0.25">
      <c r="A7" s="4"/>
      <c r="B7" s="13">
        <v>2</v>
      </c>
      <c r="C7" s="14" t="e">
        <f>données!C33</f>
        <v>#DIV/0!</v>
      </c>
      <c r="D7" s="14" t="e">
        <f t="shared" ref="D7:D15" si="0">C7*$D$3</f>
        <v>#DIV/0!</v>
      </c>
      <c r="E7" s="14" t="e">
        <f>données!I27</f>
        <v>#DIV/0!</v>
      </c>
      <c r="F7" s="14" t="e">
        <f t="shared" ref="F7:F15" si="1">D7*E7</f>
        <v>#DIV/0!</v>
      </c>
      <c r="G7" s="15" t="e">
        <f t="shared" ref="G7:G15" si="2">$G$16-E7</f>
        <v>#DIV/0!</v>
      </c>
      <c r="H7" s="15"/>
      <c r="I7" s="6" t="e">
        <f>D3*données!P$3^3*((données!I$17+SIN(données!I$17)*COS(données!I$17))/2-SIN(données!I$17)^2/données!I$17)+D7*G7^2</f>
        <v>#DIV/0!</v>
      </c>
      <c r="J7" s="8"/>
      <c r="K7" s="8"/>
      <c r="L7" s="8"/>
    </row>
    <row r="8" spans="1:18" x14ac:dyDescent="0.25">
      <c r="A8" s="4"/>
      <c r="B8" s="13">
        <v>3</v>
      </c>
      <c r="C8" s="14" t="e">
        <f>données!C32</f>
        <v>#DIV/0!</v>
      </c>
      <c r="D8" s="14" t="e">
        <f t="shared" si="0"/>
        <v>#DIV/0!</v>
      </c>
      <c r="E8" s="45">
        <f>données!N3/2</f>
        <v>0</v>
      </c>
      <c r="F8" s="14" t="e">
        <f t="shared" si="1"/>
        <v>#DIV/0!</v>
      </c>
      <c r="G8" s="15" t="e">
        <f t="shared" si="2"/>
        <v>#DIV/0!</v>
      </c>
      <c r="H8" s="15" t="e">
        <f>données!M32</f>
        <v>#DIV/0!</v>
      </c>
      <c r="I8" s="7" t="e">
        <f>D8*H8^2/12+D8*G8^2</f>
        <v>#DIV/0!</v>
      </c>
      <c r="J8" s="8"/>
      <c r="K8" s="8"/>
      <c r="L8" s="8"/>
    </row>
    <row r="9" spans="1:18" x14ac:dyDescent="0.25">
      <c r="A9" s="4"/>
      <c r="B9" s="13">
        <v>4</v>
      </c>
      <c r="C9" s="14" t="e">
        <f>données!C31</f>
        <v>#DIV/0!</v>
      </c>
      <c r="D9" s="14" t="e">
        <f t="shared" si="0"/>
        <v>#DIV/0!</v>
      </c>
      <c r="E9" s="16" t="e">
        <f>données!N3-données!I27</f>
        <v>#DIV/0!</v>
      </c>
      <c r="F9" s="14" t="e">
        <f t="shared" si="1"/>
        <v>#DIV/0!</v>
      </c>
      <c r="G9" s="15" t="e">
        <f t="shared" si="2"/>
        <v>#DIV/0!</v>
      </c>
      <c r="H9" s="15"/>
      <c r="I9" s="6" t="e">
        <f>D3*données!P$3^3*((données!L$17+SIN(données!L$17)*COS(données!L$17))/2-SIN(données!L$17)^2/données!L$17)+D9*G9^2</f>
        <v>#DIV/0!</v>
      </c>
      <c r="J9" s="8"/>
      <c r="K9" s="8"/>
      <c r="L9" s="8"/>
    </row>
    <row r="10" spans="1:18" x14ac:dyDescent="0.25">
      <c r="A10" s="4"/>
      <c r="B10" s="13">
        <v>5</v>
      </c>
      <c r="C10" s="14" t="e">
        <f>données!C30</f>
        <v>#DIV/0!</v>
      </c>
      <c r="D10" s="14" t="e">
        <f t="shared" si="0"/>
        <v>#DIV/0!</v>
      </c>
      <c r="E10" s="45">
        <f>données!N3</f>
        <v>0</v>
      </c>
      <c r="F10" s="14" t="e">
        <f t="shared" si="1"/>
        <v>#DIV/0!</v>
      </c>
      <c r="G10" s="15" t="e">
        <f t="shared" si="2"/>
        <v>#DIV/0!</v>
      </c>
      <c r="H10" s="15">
        <f>D3</f>
        <v>0</v>
      </c>
      <c r="I10" s="7" t="e">
        <f>D10*H10^2/12+D10*G10^2</f>
        <v>#DIV/0!</v>
      </c>
      <c r="J10" s="8"/>
      <c r="K10" s="8" t="s">
        <v>16</v>
      </c>
      <c r="L10" s="8" t="e">
        <f>F16/#REF!</f>
        <v>#DIV/0!</v>
      </c>
    </row>
    <row r="11" spans="1:18" x14ac:dyDescent="0.25">
      <c r="A11" s="4"/>
      <c r="B11" s="13">
        <v>6</v>
      </c>
      <c r="C11" s="14" t="e">
        <f>C10</f>
        <v>#DIV/0!</v>
      </c>
      <c r="D11" s="14" t="e">
        <f t="shared" si="0"/>
        <v>#DIV/0!</v>
      </c>
      <c r="E11" s="16">
        <f>E10</f>
        <v>0</v>
      </c>
      <c r="F11" s="14" t="e">
        <f t="shared" si="1"/>
        <v>#DIV/0!</v>
      </c>
      <c r="G11" s="15" t="e">
        <f t="shared" si="2"/>
        <v>#DIV/0!</v>
      </c>
      <c r="H11" s="15">
        <f>H10</f>
        <v>0</v>
      </c>
      <c r="I11" s="63" t="e">
        <f>I10</f>
        <v>#DIV/0!</v>
      </c>
      <c r="J11" s="8"/>
    </row>
    <row r="12" spans="1:18" x14ac:dyDescent="0.25">
      <c r="A12" s="4"/>
      <c r="B12" s="13">
        <v>7</v>
      </c>
      <c r="C12" s="14" t="e">
        <f>C9</f>
        <v>#DIV/0!</v>
      </c>
      <c r="D12" s="14" t="e">
        <f t="shared" si="0"/>
        <v>#DIV/0!</v>
      </c>
      <c r="E12" s="14" t="e">
        <f>E9</f>
        <v>#DIV/0!</v>
      </c>
      <c r="F12" s="14" t="e">
        <f t="shared" si="1"/>
        <v>#DIV/0!</v>
      </c>
      <c r="G12" s="15" t="e">
        <f t="shared" si="2"/>
        <v>#DIV/0!</v>
      </c>
      <c r="H12" s="14">
        <f>H9</f>
        <v>0</v>
      </c>
      <c r="I12" s="110" t="e">
        <f>I9</f>
        <v>#DIV/0!</v>
      </c>
      <c r="J12" s="8"/>
    </row>
    <row r="13" spans="1:18" x14ac:dyDescent="0.25">
      <c r="A13" s="4"/>
      <c r="B13" s="13">
        <v>8</v>
      </c>
      <c r="C13" s="14" t="e">
        <f>C8</f>
        <v>#DIV/0!</v>
      </c>
      <c r="D13" s="14" t="e">
        <f t="shared" si="0"/>
        <v>#DIV/0!</v>
      </c>
      <c r="E13" s="14">
        <f>E8</f>
        <v>0</v>
      </c>
      <c r="F13" s="14" t="e">
        <f t="shared" si="1"/>
        <v>#DIV/0!</v>
      </c>
      <c r="G13" s="15" t="e">
        <f t="shared" si="2"/>
        <v>#DIV/0!</v>
      </c>
      <c r="H13" s="14" t="e">
        <f>H8</f>
        <v>#DIV/0!</v>
      </c>
      <c r="I13" s="111" t="e">
        <f>I8</f>
        <v>#DIV/0!</v>
      </c>
      <c r="J13" s="8"/>
    </row>
    <row r="14" spans="1:18" x14ac:dyDescent="0.25">
      <c r="A14" s="4"/>
      <c r="B14" s="13">
        <v>9</v>
      </c>
      <c r="C14" s="14" t="e">
        <f>C7</f>
        <v>#DIV/0!</v>
      </c>
      <c r="D14" s="14" t="e">
        <f t="shared" si="0"/>
        <v>#DIV/0!</v>
      </c>
      <c r="E14" s="14" t="e">
        <f>E7</f>
        <v>#DIV/0!</v>
      </c>
      <c r="F14" s="14" t="e">
        <f t="shared" si="1"/>
        <v>#DIV/0!</v>
      </c>
      <c r="G14" s="15" t="e">
        <f t="shared" si="2"/>
        <v>#DIV/0!</v>
      </c>
      <c r="H14" s="14">
        <f>H7</f>
        <v>0</v>
      </c>
      <c r="I14" s="112" t="e">
        <f>I7</f>
        <v>#DIV/0!</v>
      </c>
      <c r="J14" s="8"/>
    </row>
    <row r="15" spans="1:18" x14ac:dyDescent="0.25">
      <c r="B15" s="13" t="s">
        <v>82</v>
      </c>
      <c r="C15" s="14" t="e">
        <f>15*D3-données!I19</f>
        <v>#DIV/0!</v>
      </c>
      <c r="D15" s="14" t="e">
        <f t="shared" si="0"/>
        <v>#DIV/0!</v>
      </c>
      <c r="E15" s="14">
        <v>0</v>
      </c>
      <c r="F15" s="14" t="e">
        <f t="shared" si="1"/>
        <v>#DIV/0!</v>
      </c>
      <c r="G15" s="15" t="e">
        <f t="shared" si="2"/>
        <v>#DIV/0!</v>
      </c>
      <c r="H15" s="15">
        <f>données!M34</f>
        <v>0</v>
      </c>
      <c r="I15" s="7" t="e">
        <f>D15*H15^2/12+D15*G15^2</f>
        <v>#DIV/0!</v>
      </c>
      <c r="J15" s="8"/>
    </row>
    <row r="16" spans="1:18" x14ac:dyDescent="0.25">
      <c r="B16" s="25" t="s">
        <v>6</v>
      </c>
      <c r="C16" s="16"/>
      <c r="D16" s="26" t="e">
        <f>SUM(D6:D15)</f>
        <v>#DIV/0!</v>
      </c>
      <c r="E16" s="17"/>
      <c r="F16" s="14" t="e">
        <f>SUM(F6:F15)</f>
        <v>#DIV/0!</v>
      </c>
      <c r="G16" s="17" t="e">
        <f>F16/D16</f>
        <v>#DIV/0!</v>
      </c>
      <c r="H16" s="17"/>
      <c r="I16" s="7" t="e">
        <f>SUM(I6:I15)</f>
        <v>#DIV/0!</v>
      </c>
      <c r="J16" s="8"/>
    </row>
    <row r="17" spans="1:18" x14ac:dyDescent="0.25">
      <c r="B17" s="18"/>
      <c r="C17" s="17"/>
      <c r="D17" s="17"/>
      <c r="E17" s="17"/>
      <c r="F17" s="17"/>
      <c r="G17" s="17"/>
      <c r="H17" s="17"/>
      <c r="I17" s="121"/>
      <c r="J17" s="8"/>
    </row>
    <row r="18" spans="1:18" ht="16.5" x14ac:dyDescent="0.3">
      <c r="B18" s="13" t="s">
        <v>5</v>
      </c>
      <c r="C18" s="13" t="s">
        <v>44</v>
      </c>
      <c r="D18" s="13" t="s">
        <v>47</v>
      </c>
      <c r="E18" s="13"/>
      <c r="F18" s="13"/>
      <c r="G18" s="13"/>
      <c r="H18" s="13"/>
      <c r="I18" s="13"/>
      <c r="J18" s="8"/>
      <c r="K18" s="13" t="s">
        <v>35</v>
      </c>
      <c r="L18" s="13" t="s">
        <v>36</v>
      </c>
      <c r="M18" s="13" t="s">
        <v>37</v>
      </c>
      <c r="N18" s="13" t="s">
        <v>38</v>
      </c>
      <c r="O18" s="13" t="s">
        <v>39</v>
      </c>
      <c r="P18" s="13" t="s">
        <v>40</v>
      </c>
      <c r="Q18" s="13" t="s">
        <v>41</v>
      </c>
      <c r="R18" s="13"/>
    </row>
    <row r="19" spans="1:18" ht="18.75" x14ac:dyDescent="0.3">
      <c r="A19" s="4"/>
      <c r="B19" s="13" t="s">
        <v>81</v>
      </c>
      <c r="C19" s="14" t="e">
        <f>'largeur_eff_semelle bis (2)'!O5-données!I19</f>
        <v>#DIV/0!</v>
      </c>
      <c r="D19" s="14" t="e">
        <f>C19*$D$3</f>
        <v>#DIV/0!</v>
      </c>
      <c r="E19" s="14"/>
      <c r="F19" s="14"/>
      <c r="G19" s="15"/>
      <c r="H19" s="15"/>
      <c r="I19" s="12"/>
      <c r="J19" s="8"/>
      <c r="K19" s="2" t="s">
        <v>42</v>
      </c>
      <c r="L19" s="2"/>
      <c r="M19" s="2" t="s">
        <v>43</v>
      </c>
      <c r="N19" s="2"/>
      <c r="O19" s="2" t="s">
        <v>101</v>
      </c>
      <c r="P19" s="2"/>
      <c r="Q19" s="2" t="s">
        <v>102</v>
      </c>
      <c r="R19" s="2"/>
    </row>
    <row r="20" spans="1:18" x14ac:dyDescent="0.25">
      <c r="A20" s="4"/>
      <c r="B20" s="13">
        <v>2</v>
      </c>
      <c r="C20" s="14" t="e">
        <f>C7</f>
        <v>#DIV/0!</v>
      </c>
      <c r="D20" s="14" t="e">
        <f t="shared" ref="D20:D28" si="3">C20*$D$3</f>
        <v>#DIV/0!</v>
      </c>
      <c r="E20" s="14"/>
      <c r="F20" s="14"/>
      <c r="G20" s="15"/>
      <c r="H20" s="15"/>
      <c r="I20" s="6"/>
      <c r="J20" s="8"/>
      <c r="K20" s="8"/>
      <c r="L20" s="8"/>
    </row>
    <row r="21" spans="1:18" x14ac:dyDescent="0.25">
      <c r="A21" s="4"/>
      <c r="B21" s="13">
        <v>3</v>
      </c>
      <c r="C21" s="14" t="e">
        <f t="shared" ref="C21:C27" si="4">C8</f>
        <v>#DIV/0!</v>
      </c>
      <c r="D21" s="14" t="e">
        <f t="shared" si="3"/>
        <v>#DIV/0!</v>
      </c>
      <c r="E21" s="45"/>
      <c r="F21" s="14"/>
      <c r="G21" s="15"/>
      <c r="H21" s="15"/>
      <c r="I21" s="7"/>
      <c r="J21" s="8"/>
      <c r="K21" s="8"/>
      <c r="L21" s="8"/>
    </row>
    <row r="22" spans="1:18" x14ac:dyDescent="0.25">
      <c r="A22" s="4"/>
      <c r="B22" s="13">
        <v>4</v>
      </c>
      <c r="C22" s="14" t="e">
        <f t="shared" si="4"/>
        <v>#DIV/0!</v>
      </c>
      <c r="D22" s="14" t="e">
        <f t="shared" si="3"/>
        <v>#DIV/0!</v>
      </c>
      <c r="E22" s="16"/>
      <c r="F22" s="14"/>
      <c r="G22" s="15"/>
      <c r="H22" s="15"/>
      <c r="I22" s="6"/>
      <c r="J22" s="8"/>
      <c r="K22" s="8"/>
      <c r="L22" s="8"/>
    </row>
    <row r="23" spans="1:18" x14ac:dyDescent="0.25">
      <c r="A23" s="4"/>
      <c r="B23" s="13">
        <v>5</v>
      </c>
      <c r="C23" s="14" t="e">
        <f t="shared" si="4"/>
        <v>#DIV/0!</v>
      </c>
      <c r="D23" s="14" t="e">
        <f t="shared" si="3"/>
        <v>#DIV/0!</v>
      </c>
      <c r="E23" s="45"/>
      <c r="F23" s="14"/>
      <c r="G23" s="15"/>
      <c r="H23" s="15"/>
      <c r="I23" s="7"/>
      <c r="J23" s="8"/>
      <c r="K23" s="8" t="s">
        <v>16</v>
      </c>
      <c r="L23" s="8" t="e">
        <f>F29/#REF!</f>
        <v>#REF!</v>
      </c>
    </row>
    <row r="24" spans="1:18" x14ac:dyDescent="0.25">
      <c r="A24" s="4"/>
      <c r="B24" s="13">
        <v>6</v>
      </c>
      <c r="C24" s="14" t="e">
        <f t="shared" si="4"/>
        <v>#DIV/0!</v>
      </c>
      <c r="D24" s="14" t="e">
        <f t="shared" si="3"/>
        <v>#DIV/0!</v>
      </c>
      <c r="E24" s="16"/>
      <c r="F24" s="14"/>
      <c r="G24" s="15"/>
      <c r="H24" s="15"/>
      <c r="I24" s="63"/>
      <c r="J24" s="8"/>
    </row>
    <row r="25" spans="1:18" x14ac:dyDescent="0.25">
      <c r="A25" s="4"/>
      <c r="B25" s="13">
        <v>7</v>
      </c>
      <c r="C25" s="14" t="e">
        <f t="shared" si="4"/>
        <v>#DIV/0!</v>
      </c>
      <c r="D25" s="14" t="e">
        <f t="shared" si="3"/>
        <v>#DIV/0!</v>
      </c>
      <c r="E25" s="14"/>
      <c r="F25" s="14"/>
      <c r="G25" s="15"/>
      <c r="H25" s="14"/>
      <c r="I25" s="110"/>
      <c r="J25" s="8"/>
    </row>
    <row r="26" spans="1:18" x14ac:dyDescent="0.25">
      <c r="A26" s="4"/>
      <c r="B26" s="13">
        <v>8</v>
      </c>
      <c r="C26" s="14" t="e">
        <f t="shared" si="4"/>
        <v>#DIV/0!</v>
      </c>
      <c r="D26" s="14" t="e">
        <f t="shared" si="3"/>
        <v>#DIV/0!</v>
      </c>
      <c r="E26" s="14"/>
      <c r="F26" s="14"/>
      <c r="G26" s="15"/>
      <c r="H26" s="14"/>
      <c r="I26" s="111"/>
      <c r="J26" s="8"/>
    </row>
    <row r="27" spans="1:18" x14ac:dyDescent="0.25">
      <c r="A27" s="4"/>
      <c r="B27" s="13">
        <v>9</v>
      </c>
      <c r="C27" s="14" t="e">
        <f t="shared" si="4"/>
        <v>#DIV/0!</v>
      </c>
      <c r="D27" s="14" t="e">
        <f t="shared" si="3"/>
        <v>#DIV/0!</v>
      </c>
      <c r="E27" s="14"/>
      <c r="F27" s="14"/>
      <c r="G27" s="15"/>
      <c r="H27" s="14"/>
      <c r="I27" s="112"/>
      <c r="J27" s="8"/>
    </row>
    <row r="28" spans="1:18" x14ac:dyDescent="0.25">
      <c r="B28" s="13" t="s">
        <v>82</v>
      </c>
      <c r="C28" s="14" t="e">
        <f>'largeur_eff_semelle bis (2)'!O5-données!I19</f>
        <v>#DIV/0!</v>
      </c>
      <c r="D28" s="14" t="e">
        <f t="shared" si="3"/>
        <v>#DIV/0!</v>
      </c>
      <c r="E28" s="14"/>
      <c r="F28" s="14"/>
      <c r="G28" s="15"/>
      <c r="H28" s="15"/>
      <c r="I28" s="66"/>
      <c r="J28" s="8"/>
    </row>
    <row r="29" spans="1:18" x14ac:dyDescent="0.25">
      <c r="B29" s="25" t="s">
        <v>6</v>
      </c>
      <c r="C29" s="16"/>
      <c r="D29" s="26" t="e">
        <f>SUM(D19:D28)</f>
        <v>#DIV/0!</v>
      </c>
      <c r="E29" s="17"/>
      <c r="F29" s="14"/>
      <c r="G29" s="17"/>
      <c r="H29" s="17"/>
      <c r="I29" s="7"/>
      <c r="J29" s="8"/>
    </row>
    <row r="30" spans="1:18" x14ac:dyDescent="0.25">
      <c r="B30" s="18"/>
      <c r="C30" s="17"/>
      <c r="D30" s="17"/>
      <c r="E30" s="17"/>
      <c r="F30" s="17"/>
      <c r="G30" s="17"/>
      <c r="H30" s="17"/>
      <c r="I30" s="121"/>
      <c r="J30" s="8"/>
    </row>
    <row r="31" spans="1:18" x14ac:dyDescent="0.25">
      <c r="B31" s="18"/>
      <c r="C31" s="18"/>
      <c r="D31" s="18"/>
      <c r="E31" s="18"/>
      <c r="F31" s="18"/>
      <c r="G31" s="18"/>
      <c r="H31" s="19"/>
      <c r="I31" s="19"/>
      <c r="J31" s="19"/>
      <c r="K31" s="8"/>
      <c r="L31" s="8"/>
    </row>
    <row r="32" spans="1:18" ht="16.5" x14ac:dyDescent="0.3">
      <c r="B32" s="2" t="s">
        <v>111</v>
      </c>
      <c r="C32" s="2"/>
      <c r="D32" s="2" t="s">
        <v>25</v>
      </c>
      <c r="E32" s="2" t="s">
        <v>26</v>
      </c>
      <c r="F32" s="2" t="s">
        <v>27</v>
      </c>
      <c r="G32" s="2" t="s">
        <v>28</v>
      </c>
      <c r="H32" s="2" t="s">
        <v>107</v>
      </c>
      <c r="I32" s="2" t="s">
        <v>29</v>
      </c>
      <c r="J32" s="8"/>
      <c r="K32" s="8"/>
      <c r="L32" s="8"/>
    </row>
    <row r="33" spans="2:12" x14ac:dyDescent="0.25">
      <c r="B33" s="7" t="e">
        <f>2*C3+B3</f>
        <v>#DIV/0!</v>
      </c>
      <c r="C33" s="7"/>
      <c r="D33" s="7">
        <f>données!D15</f>
        <v>0</v>
      </c>
      <c r="E33" s="7" t="e">
        <f>données!M3</f>
        <v>#DIV/0!</v>
      </c>
      <c r="F33" s="7" t="e">
        <f>3.07*(I16*C3^2*(2*C3+3*B3)/D3^3)^0.25</f>
        <v>#DIV/0!</v>
      </c>
      <c r="G33" s="7" t="e">
        <f>F33/E33</f>
        <v>#DIV/0!</v>
      </c>
      <c r="H33" s="7" t="e">
        <f>((E33+2*B33)/(E33+0.5*B33))^0.5</f>
        <v>#DIV/0!</v>
      </c>
      <c r="I33" s="67" t="e">
        <f>IF(G33&gt;2,H33,(H33-(H33-1)*(2*F33/E33-(F33/E33)^2)))</f>
        <v>#DIV/0!</v>
      </c>
      <c r="J33" s="8"/>
      <c r="K33" s="8"/>
      <c r="L33" s="8"/>
    </row>
    <row r="34" spans="2:12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2:12" ht="16.5" x14ac:dyDescent="0.3">
      <c r="B35" s="2" t="s">
        <v>50</v>
      </c>
      <c r="C35" s="8"/>
      <c r="D35" s="8"/>
      <c r="E35" s="8"/>
      <c r="F35" s="8"/>
      <c r="G35" s="8"/>
      <c r="H35" s="8"/>
      <c r="I35" s="8"/>
      <c r="J35" s="8"/>
      <c r="K35" s="8"/>
    </row>
    <row r="36" spans="2:12" x14ac:dyDescent="0.25">
      <c r="B36" s="7" t="e">
        <f>4.2*I33*E3/D29*(I16*D3^3/4/C3^2/(2*C3+3*B3))^0.5</f>
        <v>#DIV/0!</v>
      </c>
      <c r="C36" s="8"/>
      <c r="D36" s="8"/>
      <c r="E36" s="8"/>
      <c r="F36" s="8"/>
      <c r="G36" s="8"/>
      <c r="H36" s="8"/>
      <c r="I36" s="8"/>
      <c r="J36" s="8"/>
      <c r="K36" s="8"/>
    </row>
    <row r="38" spans="2:12" ht="16.5" x14ac:dyDescent="0.3">
      <c r="B38" s="2" t="s">
        <v>20</v>
      </c>
      <c r="C38" s="2" t="s">
        <v>10</v>
      </c>
      <c r="D38" s="2" t="s">
        <v>108</v>
      </c>
      <c r="E38" s="2" t="s">
        <v>109</v>
      </c>
    </row>
    <row r="39" spans="2:12" x14ac:dyDescent="0.25">
      <c r="B39" s="6">
        <f>données!G3</f>
        <v>0</v>
      </c>
      <c r="C39" s="11" t="e">
        <f>(B39/B36)^0.5</f>
        <v>#DIV/0!</v>
      </c>
      <c r="D39" t="e">
        <f>IF(C39&lt;0.65,1,(1.47-0.723*C39))</f>
        <v>#DIV/0!</v>
      </c>
      <c r="E39" t="e">
        <f>IF(C39&gt;1.38,0.66/C39,D39)</f>
        <v>#DIV/0!</v>
      </c>
    </row>
    <row r="41" spans="2:12" ht="16.5" x14ac:dyDescent="0.3">
      <c r="B41" s="7" t="s">
        <v>11</v>
      </c>
      <c r="C41" s="13" t="s">
        <v>56</v>
      </c>
      <c r="E41" s="2" t="s">
        <v>142</v>
      </c>
    </row>
    <row r="42" spans="2:12" x14ac:dyDescent="0.25">
      <c r="B42" s="68" t="e">
        <f>E39</f>
        <v>#DIV/0!</v>
      </c>
      <c r="C42" s="14" t="e">
        <f>B42*données!E3</f>
        <v>#DIV/0!</v>
      </c>
      <c r="E42" t="e">
        <f>B39/'largeur_eff_semelle (2)'!K5/'largeur_eff_semelle (2)'!J5</f>
        <v>#DIV/0!</v>
      </c>
      <c r="G42" s="74" t="e">
        <f>B42*E42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windowProtection="1" workbookViewId="0">
      <selection activeCell="G7" sqref="G7"/>
    </sheetView>
  </sheetViews>
  <sheetFormatPr baseColWidth="10" defaultRowHeight="15" x14ac:dyDescent="0.25"/>
  <cols>
    <col min="6" max="6" width="11.42578125" customWidth="1"/>
  </cols>
  <sheetData>
    <row r="2" spans="2:9" ht="16.5" x14ac:dyDescent="0.3">
      <c r="B2" s="2" t="s">
        <v>0</v>
      </c>
      <c r="C2" s="2" t="s">
        <v>2</v>
      </c>
      <c r="D2" s="2" t="s">
        <v>20</v>
      </c>
      <c r="E2" s="41" t="s">
        <v>79</v>
      </c>
      <c r="F2" s="40" t="s">
        <v>78</v>
      </c>
      <c r="G2" s="2" t="s">
        <v>83</v>
      </c>
      <c r="H2" s="2" t="s">
        <v>33</v>
      </c>
      <c r="I2" s="8"/>
    </row>
    <row r="3" spans="2:9" x14ac:dyDescent="0.25">
      <c r="B3" s="2">
        <f>données!E3</f>
        <v>0</v>
      </c>
      <c r="C3" s="7">
        <f>données!H3</f>
        <v>0</v>
      </c>
      <c r="D3" s="46">
        <f>données!G3</f>
        <v>0</v>
      </c>
      <c r="E3" s="11">
        <v>1</v>
      </c>
      <c r="F3" s="11" t="e">
        <f>MIN(D3,D3*(données!L3-résistance_section!H32)/résistance_section!H32)</f>
        <v>#DIV/0!</v>
      </c>
      <c r="G3" s="7" t="e">
        <f>données!L3-résistance_section!H32</f>
        <v>#DIV/0!</v>
      </c>
      <c r="H3" s="2" t="e">
        <f>G3/SIN(données!B3)-données!C20</f>
        <v>#DIV/0!</v>
      </c>
      <c r="I3" s="8"/>
    </row>
    <row r="4" spans="2:9" x14ac:dyDescent="0.25">
      <c r="B4" s="8"/>
      <c r="C4" s="8"/>
      <c r="D4" s="8"/>
      <c r="E4" s="8"/>
      <c r="F4" s="8"/>
      <c r="G4" s="8"/>
      <c r="H4" s="8"/>
    </row>
    <row r="5" spans="2:9" ht="16.5" x14ac:dyDescent="0.3">
      <c r="B5" s="2" t="s">
        <v>30</v>
      </c>
      <c r="C5" s="2" t="s">
        <v>31</v>
      </c>
      <c r="D5" s="2" t="s">
        <v>112</v>
      </c>
      <c r="E5" s="2" t="s">
        <v>113</v>
      </c>
      <c r="F5" s="8" t="s">
        <v>114</v>
      </c>
      <c r="G5" s="8"/>
      <c r="H5" s="8"/>
    </row>
    <row r="6" spans="2:9" x14ac:dyDescent="0.25">
      <c r="B6" s="66" t="e">
        <f>0.95*B3*(C3/F3/E3)^0.5</f>
        <v>#DIV/0!</v>
      </c>
      <c r="C6" s="66" t="e">
        <f>B6</f>
        <v>#DIV/0!</v>
      </c>
      <c r="D6" s="7" t="e">
        <f>1.5*C6</f>
        <v>#DIV/0!</v>
      </c>
      <c r="E6" s="9" t="e">
        <f>C6+D6</f>
        <v>#DIV/0!</v>
      </c>
      <c r="F6" s="8"/>
      <c r="G6" s="69" t="s">
        <v>177</v>
      </c>
      <c r="H6" s="8"/>
    </row>
    <row r="7" spans="2:9" x14ac:dyDescent="0.25">
      <c r="B7" s="8"/>
      <c r="C7" s="8"/>
      <c r="D7" s="8"/>
      <c r="E7" s="8"/>
      <c r="F7" s="8"/>
      <c r="G7" s="8"/>
      <c r="H7" s="8"/>
    </row>
    <row r="8" spans="2:9" x14ac:dyDescent="0.25">
      <c r="B8" s="113" t="s">
        <v>9</v>
      </c>
      <c r="C8" s="69"/>
      <c r="D8" s="69"/>
      <c r="E8" s="69"/>
      <c r="F8" s="8"/>
      <c r="G8" s="8"/>
      <c r="H8" s="8"/>
    </row>
    <row r="9" spans="2:9" x14ac:dyDescent="0.25">
      <c r="B9" s="8"/>
      <c r="C9" s="8"/>
      <c r="D9" s="8"/>
      <c r="E9" s="8"/>
      <c r="F9" s="8"/>
      <c r="G9" s="8"/>
      <c r="H9" s="8"/>
    </row>
    <row r="10" spans="2:9" ht="18.75" x14ac:dyDescent="0.3">
      <c r="B10" s="13" t="s">
        <v>5</v>
      </c>
      <c r="C10" s="13" t="s">
        <v>44</v>
      </c>
      <c r="D10" s="13" t="s">
        <v>47</v>
      </c>
      <c r="E10" s="13" t="s">
        <v>45</v>
      </c>
      <c r="F10" s="13" t="s">
        <v>48</v>
      </c>
      <c r="G10" s="13" t="s">
        <v>32</v>
      </c>
      <c r="H10" s="8"/>
    </row>
    <row r="11" spans="2:9" x14ac:dyDescent="0.25">
      <c r="B11" s="43">
        <v>1</v>
      </c>
      <c r="C11" s="44" t="e">
        <f>données!C30</f>
        <v>#DIV/0!</v>
      </c>
      <c r="D11" s="44" t="e">
        <f>C11*$B$3</f>
        <v>#DIV/0!</v>
      </c>
      <c r="E11" s="44">
        <v>0</v>
      </c>
      <c r="F11" s="44" t="e">
        <f>D11*E11</f>
        <v>#DIV/0!</v>
      </c>
      <c r="G11" s="18"/>
      <c r="H11" s="8"/>
    </row>
    <row r="12" spans="2:9" s="74" customFormat="1" x14ac:dyDescent="0.25">
      <c r="B12" s="148">
        <v>2</v>
      </c>
      <c r="C12" s="147" t="e">
        <f>données!#REF!</f>
        <v>#REF!</v>
      </c>
      <c r="D12" s="147" t="e">
        <f>C12*$B$3</f>
        <v>#REF!</v>
      </c>
      <c r="E12" s="148" t="e">
        <f>données!#REF!/2</f>
        <v>#REF!</v>
      </c>
      <c r="F12" s="147" t="e">
        <f>D12*E12</f>
        <v>#REF!</v>
      </c>
      <c r="G12" s="144"/>
      <c r="H12" s="145"/>
    </row>
    <row r="13" spans="2:9" x14ac:dyDescent="0.25">
      <c r="B13" s="43">
        <v>3</v>
      </c>
      <c r="C13" s="44">
        <f>données!C6</f>
        <v>0</v>
      </c>
      <c r="D13" s="44">
        <f>C13*$B$3</f>
        <v>0</v>
      </c>
      <c r="E13" s="43">
        <f>données!D6/2</f>
        <v>0</v>
      </c>
      <c r="F13" s="44">
        <f>D13*E13</f>
        <v>0</v>
      </c>
      <c r="G13" s="18"/>
      <c r="H13" s="8"/>
    </row>
    <row r="14" spans="2:9" x14ac:dyDescent="0.25">
      <c r="B14" s="43">
        <v>4</v>
      </c>
      <c r="C14" s="44" t="e">
        <f>largeur_eff_semelle!O5</f>
        <v>#DIV/0!</v>
      </c>
      <c r="D14" s="44" t="e">
        <f>C14*$B$3</f>
        <v>#DIV/0!</v>
      </c>
      <c r="E14" s="44">
        <v>0</v>
      </c>
      <c r="F14" s="44" t="e">
        <f>D14*E14</f>
        <v>#DIV/0!</v>
      </c>
      <c r="G14" s="8"/>
      <c r="H14" s="8"/>
    </row>
    <row r="15" spans="2:9" x14ac:dyDescent="0.25">
      <c r="B15" s="43">
        <v>5</v>
      </c>
      <c r="C15" s="44" t="e">
        <f>largeur_eff_semelle!O5</f>
        <v>#DIV/0!</v>
      </c>
      <c r="D15" s="44" t="e">
        <f t="shared" ref="D15:D20" si="0">C15*$B$3</f>
        <v>#DIV/0!</v>
      </c>
      <c r="E15" s="44">
        <f>F8/2</f>
        <v>0</v>
      </c>
      <c r="F15" s="44" t="e">
        <f t="shared" ref="F15:F20" si="1">D15*E15</f>
        <v>#DIV/0!</v>
      </c>
      <c r="G15" s="8"/>
      <c r="H15" s="8"/>
    </row>
    <row r="16" spans="2:9" x14ac:dyDescent="0.25">
      <c r="B16" s="43">
        <v>6</v>
      </c>
      <c r="C16" s="44">
        <f>données!C8</f>
        <v>0</v>
      </c>
      <c r="D16" s="44">
        <f t="shared" si="0"/>
        <v>0</v>
      </c>
      <c r="E16" s="49">
        <f>données!D8/2</f>
        <v>0</v>
      </c>
      <c r="F16" s="44">
        <f t="shared" si="1"/>
        <v>0</v>
      </c>
      <c r="G16" s="8"/>
      <c r="H16" s="8"/>
    </row>
    <row r="17" spans="2:8" x14ac:dyDescent="0.25">
      <c r="B17" s="43">
        <v>7</v>
      </c>
      <c r="C17" s="44">
        <f>données!C9</f>
        <v>0</v>
      </c>
      <c r="D17" s="44">
        <f t="shared" si="0"/>
        <v>0</v>
      </c>
      <c r="E17" s="44">
        <f>données!D8+données!D9/2</f>
        <v>0</v>
      </c>
      <c r="F17" s="44">
        <f t="shared" si="1"/>
        <v>0</v>
      </c>
      <c r="G17" s="8"/>
      <c r="H17" s="8"/>
    </row>
    <row r="18" spans="2:8" x14ac:dyDescent="0.25">
      <c r="B18" s="43">
        <v>8</v>
      </c>
      <c r="C18" s="50">
        <f>données!C11</f>
        <v>0</v>
      </c>
      <c r="D18" s="44">
        <f>C18*$B$3</f>
        <v>0</v>
      </c>
      <c r="E18" s="44">
        <f>données!D8+données!D9+données!D11/2</f>
        <v>0</v>
      </c>
      <c r="F18" s="44">
        <f t="shared" si="1"/>
        <v>0</v>
      </c>
      <c r="G18" s="8"/>
      <c r="H18" s="8"/>
    </row>
    <row r="19" spans="2:8" x14ac:dyDescent="0.25">
      <c r="B19" s="43">
        <v>9</v>
      </c>
      <c r="C19" s="50">
        <f>données!C13</f>
        <v>0</v>
      </c>
      <c r="D19" s="44">
        <f t="shared" si="0"/>
        <v>0</v>
      </c>
      <c r="E19" s="44">
        <f>données!D15</f>
        <v>0</v>
      </c>
      <c r="F19" s="44">
        <f t="shared" si="1"/>
        <v>0</v>
      </c>
      <c r="G19" s="8"/>
      <c r="H19" s="8"/>
    </row>
    <row r="20" spans="2:8" x14ac:dyDescent="0.25">
      <c r="B20" s="43">
        <v>10</v>
      </c>
      <c r="C20" s="50">
        <f>données!C14</f>
        <v>0</v>
      </c>
      <c r="D20" s="44">
        <f t="shared" si="0"/>
        <v>0</v>
      </c>
      <c r="E20" s="44">
        <f>données!D15-données!D14/2</f>
        <v>0</v>
      </c>
      <c r="F20" s="44">
        <f t="shared" si="1"/>
        <v>0</v>
      </c>
      <c r="G20" s="8"/>
      <c r="H20" s="8"/>
    </row>
    <row r="21" spans="2:8" x14ac:dyDescent="0.25">
      <c r="B21" s="13" t="s">
        <v>6</v>
      </c>
      <c r="C21" s="8"/>
      <c r="D21" s="7" t="e">
        <f>SUM(D11:D20)</f>
        <v>#DIV/0!</v>
      </c>
      <c r="E21" s="8"/>
      <c r="F21" s="7" t="e">
        <f>SUM(F11:F20)</f>
        <v>#DIV/0!</v>
      </c>
      <c r="G21" s="7" t="e">
        <f>F21/D21</f>
        <v>#DIV/0!</v>
      </c>
      <c r="H21" s="8"/>
    </row>
    <row r="22" spans="2:8" x14ac:dyDescent="0.25">
      <c r="B22" s="8"/>
      <c r="C22" s="8"/>
      <c r="D22" s="8"/>
      <c r="E22" s="8"/>
      <c r="F22" s="8"/>
      <c r="G22" s="8"/>
      <c r="H22" s="8"/>
    </row>
    <row r="23" spans="2:8" ht="16.5" x14ac:dyDescent="0.3">
      <c r="B23" s="2" t="s">
        <v>133</v>
      </c>
      <c r="C23" s="2" t="s">
        <v>134</v>
      </c>
      <c r="D23" s="8"/>
      <c r="E23" s="8"/>
      <c r="F23" s="8"/>
      <c r="G23" s="8"/>
      <c r="H23" s="10" t="s">
        <v>112</v>
      </c>
    </row>
    <row r="24" spans="2:8" x14ac:dyDescent="0.25">
      <c r="B24" s="7">
        <f>données!D8</f>
        <v>0</v>
      </c>
      <c r="C24" s="7" t="e">
        <f>(1+0.5*B24/G21)*B6</f>
        <v>#DIV/0!</v>
      </c>
      <c r="D24" s="8"/>
      <c r="E24" s="8"/>
      <c r="F24" s="8"/>
      <c r="G24" s="8"/>
      <c r="H24" s="7" t="e">
        <f>D27/(C27+D27)*E27</f>
        <v>#DIV/0!</v>
      </c>
    </row>
    <row r="25" spans="2:8" x14ac:dyDescent="0.25">
      <c r="B25" s="8"/>
      <c r="C25" s="8"/>
      <c r="D25" s="8"/>
      <c r="E25" s="8"/>
      <c r="F25" s="8"/>
      <c r="G25" s="8"/>
      <c r="H25" s="114"/>
    </row>
    <row r="26" spans="2:8" ht="16.5" x14ac:dyDescent="0.3">
      <c r="B26" s="2" t="s">
        <v>135</v>
      </c>
      <c r="C26" s="2" t="s">
        <v>136</v>
      </c>
      <c r="D26" s="2" t="s">
        <v>112</v>
      </c>
      <c r="E26" s="2" t="s">
        <v>33</v>
      </c>
      <c r="F26" s="2" t="s">
        <v>137</v>
      </c>
      <c r="G26" s="10" t="s">
        <v>136</v>
      </c>
      <c r="H26" s="114"/>
    </row>
    <row r="27" spans="2:8" x14ac:dyDescent="0.25">
      <c r="B27" s="7">
        <f>données!F7</f>
        <v>0</v>
      </c>
      <c r="C27" s="7" t="e">
        <f>(1+0.5*(B24+B27)/G21)*B6</f>
        <v>#DIV/0!</v>
      </c>
      <c r="D27" s="7" t="e">
        <f>1.5*B6</f>
        <v>#DIV/0!</v>
      </c>
      <c r="E27" s="7" t="e">
        <f>C6+D28+D27+E32</f>
        <v>#DIV/0!</v>
      </c>
      <c r="F27" s="7" t="e">
        <f>C27+D27</f>
        <v>#DIV/0!</v>
      </c>
      <c r="G27" s="7" t="e">
        <f>C27/(C27+D27)*E27</f>
        <v>#DIV/0!</v>
      </c>
      <c r="H27" s="114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2"/>
  <sheetViews>
    <sheetView windowProtection="1" topLeftCell="A10" workbookViewId="0">
      <selection activeCell="J26" sqref="J26"/>
    </sheetView>
  </sheetViews>
  <sheetFormatPr baseColWidth="10" defaultRowHeight="15" x14ac:dyDescent="0.25"/>
  <cols>
    <col min="2" max="2" width="11.42578125" bestFit="1" customWidth="1"/>
  </cols>
  <sheetData>
    <row r="2" spans="1:17" ht="16.5" x14ac:dyDescent="0.3">
      <c r="B2" s="2" t="s">
        <v>0</v>
      </c>
      <c r="C2" s="2" t="s">
        <v>2</v>
      </c>
      <c r="D2" s="2" t="s">
        <v>20</v>
      </c>
      <c r="E2" s="8"/>
      <c r="F2" s="8"/>
      <c r="G2" s="8"/>
      <c r="H2" s="8"/>
      <c r="I2" s="8"/>
      <c r="J2" s="8"/>
      <c r="K2" s="8"/>
    </row>
    <row r="3" spans="1:17" x14ac:dyDescent="0.25">
      <c r="B3" s="2">
        <f>données!E3</f>
        <v>0</v>
      </c>
      <c r="C3" s="7">
        <f>données!H3</f>
        <v>0</v>
      </c>
      <c r="D3" s="6">
        <f>données!G3</f>
        <v>0</v>
      </c>
      <c r="E3" s="8"/>
      <c r="F3" s="8"/>
      <c r="G3" s="8"/>
      <c r="H3" s="8"/>
      <c r="I3" s="8"/>
      <c r="J3" s="8"/>
      <c r="K3" s="8"/>
    </row>
    <row r="4" spans="1:17" x14ac:dyDescent="0.25">
      <c r="B4" s="8"/>
      <c r="C4" s="8"/>
      <c r="D4" s="8"/>
      <c r="E4" s="8"/>
      <c r="F4" s="8"/>
      <c r="G4" s="8"/>
      <c r="H4" s="8"/>
      <c r="I4" s="8"/>
      <c r="J4" s="8"/>
      <c r="K4" s="8"/>
    </row>
    <row r="5" spans="1:17" ht="16.5" x14ac:dyDescent="0.3">
      <c r="B5" s="72" t="s">
        <v>92</v>
      </c>
      <c r="C5" s="72" t="s">
        <v>91</v>
      </c>
      <c r="D5" s="72" t="s">
        <v>85</v>
      </c>
      <c r="E5" s="72" t="s">
        <v>88</v>
      </c>
      <c r="F5" s="72" t="s">
        <v>91</v>
      </c>
      <c r="G5" s="8" t="s">
        <v>110</v>
      </c>
      <c r="H5" s="8"/>
      <c r="I5" s="8"/>
      <c r="J5" s="8"/>
      <c r="K5" s="8"/>
    </row>
    <row r="6" spans="1:17" x14ac:dyDescent="0.25">
      <c r="B6" s="73" t="e">
        <f>0.76*B3*(C3/D3)^0.5</f>
        <v>#DIV/0!</v>
      </c>
      <c r="C6" s="73" t="e">
        <f>B6</f>
        <v>#DIV/0!</v>
      </c>
      <c r="D6" s="73" t="e">
        <f>largeur_eff_ame!C24</f>
        <v>#REF!</v>
      </c>
      <c r="E6" s="72" t="e">
        <f>largeur_eff_ame!G27</f>
        <v>#REF!</v>
      </c>
      <c r="F6" s="72"/>
      <c r="G6" s="8"/>
      <c r="H6" s="8"/>
      <c r="I6" s="8"/>
      <c r="J6" s="8"/>
      <c r="K6" s="8"/>
    </row>
    <row r="7" spans="1:17" x14ac:dyDescent="0.25">
      <c r="B7" s="8"/>
      <c r="C7" s="8"/>
      <c r="D7" s="8"/>
      <c r="E7" s="8"/>
      <c r="F7" s="8"/>
      <c r="G7" s="8"/>
      <c r="H7" s="8"/>
      <c r="I7" s="8"/>
      <c r="J7" s="8"/>
      <c r="K7" s="8"/>
    </row>
    <row r="8" spans="1:17" x14ac:dyDescent="0.25">
      <c r="B8" s="20" t="s">
        <v>9</v>
      </c>
      <c r="C8" s="8"/>
      <c r="D8" s="8"/>
      <c r="E8" s="8"/>
      <c r="F8" s="8"/>
      <c r="G8" s="8"/>
      <c r="H8" s="8"/>
      <c r="I8" s="8"/>
      <c r="J8" s="8"/>
      <c r="K8" s="8"/>
    </row>
    <row r="9" spans="1:17" x14ac:dyDescent="0.25">
      <c r="B9" s="8"/>
      <c r="C9" s="8"/>
      <c r="D9" s="8"/>
      <c r="E9" s="8"/>
      <c r="F9" s="8"/>
      <c r="G9" s="8"/>
      <c r="H9" s="8"/>
      <c r="I9" s="8"/>
      <c r="J9" s="8"/>
      <c r="K9" s="8"/>
    </row>
    <row r="10" spans="1:17" ht="18.75" x14ac:dyDescent="0.3">
      <c r="B10" s="13" t="s">
        <v>5</v>
      </c>
      <c r="C10" s="13" t="s">
        <v>44</v>
      </c>
      <c r="D10" s="13" t="s">
        <v>51</v>
      </c>
      <c r="E10" s="13" t="s">
        <v>47</v>
      </c>
      <c r="F10" s="13" t="s">
        <v>45</v>
      </c>
      <c r="G10" s="13" t="s">
        <v>48</v>
      </c>
      <c r="H10" s="13" t="s">
        <v>46</v>
      </c>
      <c r="I10" s="21" t="s">
        <v>8</v>
      </c>
      <c r="J10" s="13" t="s">
        <v>49</v>
      </c>
      <c r="K10" s="22" t="s">
        <v>12</v>
      </c>
      <c r="M10" s="13" t="s">
        <v>5</v>
      </c>
      <c r="N10" s="21" t="s">
        <v>8</v>
      </c>
      <c r="O10" s="13" t="s">
        <v>49</v>
      </c>
    </row>
    <row r="11" spans="1:17" x14ac:dyDescent="0.25">
      <c r="B11" s="13">
        <v>0</v>
      </c>
      <c r="C11" s="13">
        <f>données!Q4</f>
        <v>0</v>
      </c>
      <c r="D11" s="123" t="e">
        <f>'raidisseurbis (2)'!B$42*$B$3*données!P4</f>
        <v>#DIV/0!</v>
      </c>
      <c r="E11" s="117" t="e">
        <f>C11*D11*'raidisseurbis (2)'!E$42</f>
        <v>#DIV/0!</v>
      </c>
      <c r="F11" s="14">
        <f>données!J30+données!R5</f>
        <v>0</v>
      </c>
      <c r="G11" s="14" t="e">
        <f>E11*F11</f>
        <v>#DIV/0!</v>
      </c>
      <c r="H11" s="7" t="e">
        <f>$H$32-F11</f>
        <v>#DIV/0!</v>
      </c>
      <c r="I11" s="28">
        <f>données!M30</f>
        <v>0</v>
      </c>
      <c r="J11" s="7" t="e">
        <f t="shared" ref="J11" si="0">E11*I11^2/12+E11*H11^2</f>
        <v>#DIV/0!</v>
      </c>
      <c r="K11" s="27"/>
      <c r="M11" s="13"/>
      <c r="N11" s="21"/>
      <c r="O11" s="13"/>
    </row>
    <row r="12" spans="1:17" x14ac:dyDescent="0.25">
      <c r="A12" s="87" t="e">
        <f>C12*B$3</f>
        <v>#DIV/0!</v>
      </c>
      <c r="B12" s="13">
        <v>1</v>
      </c>
      <c r="C12" s="14" t="e">
        <f>données!C30-C11</f>
        <v>#DIV/0!</v>
      </c>
      <c r="D12" s="68" t="e">
        <f>'raidisseurbis (2)'!B$42*$B$3</f>
        <v>#DIV/0!</v>
      </c>
      <c r="E12" s="117" t="e">
        <f>C12*D12*'raidisseurbis (2)'!E$42</f>
        <v>#DIV/0!</v>
      </c>
      <c r="F12" s="14">
        <f>données!J30</f>
        <v>0</v>
      </c>
      <c r="G12" s="14" t="e">
        <f>E12*F12</f>
        <v>#DIV/0!</v>
      </c>
      <c r="H12" s="7" t="e">
        <f t="shared" ref="H12:H18" si="1">$H$32-F12</f>
        <v>#DIV/0!</v>
      </c>
      <c r="I12" s="28">
        <f>données!M30</f>
        <v>0</v>
      </c>
      <c r="J12" s="7" t="e">
        <f t="shared" ref="J12" si="2">E12*I12^2/12+E12*H12^2</f>
        <v>#DIV/0!</v>
      </c>
      <c r="K12" s="27"/>
      <c r="M12" s="13">
        <v>1</v>
      </c>
      <c r="N12" s="3">
        <f>I12</f>
        <v>0</v>
      </c>
      <c r="O12" s="3" t="e">
        <f>J12</f>
        <v>#DIV/0!</v>
      </c>
      <c r="Q12" s="87">
        <v>5978.750489348753</v>
      </c>
    </row>
    <row r="13" spans="1:17" x14ac:dyDescent="0.25">
      <c r="A13" s="87" t="e">
        <f t="shared" ref="A13:A16" si="3">C13*B$3</f>
        <v>#DIV/0!</v>
      </c>
      <c r="B13" s="13">
        <v>2</v>
      </c>
      <c r="C13" s="14" t="e">
        <f>données!C31</f>
        <v>#DIV/0!</v>
      </c>
      <c r="D13" s="68" t="e">
        <f>'raidisseurbis (2)'!B$42*$B$3</f>
        <v>#DIV/0!</v>
      </c>
      <c r="E13" s="117" t="e">
        <f>C13*D13*'raidisseurbis (2)'!E$42</f>
        <v>#DIV/0!</v>
      </c>
      <c r="F13" s="14" t="e">
        <f>données!J31</f>
        <v>#DIV/0!</v>
      </c>
      <c r="G13" s="14" t="e">
        <f t="shared" ref="G13:G31" si="4">E13*F13</f>
        <v>#DIV/0!</v>
      </c>
      <c r="H13" s="7" t="e">
        <f t="shared" si="1"/>
        <v>#DIV/0!</v>
      </c>
      <c r="I13" s="28">
        <f>données!M31</f>
        <v>0</v>
      </c>
      <c r="J13" s="6" t="e">
        <f>D13*(données!$P$3^3*((données!$I$17+SIN(données!$I$17)*COS(données!$I$17))/2-SIN(données!$I$17)^2/données!$I$17))+E13*H13^2</f>
        <v>#DIV/0!</v>
      </c>
      <c r="K13" s="8"/>
      <c r="M13" s="13">
        <v>2</v>
      </c>
      <c r="N13" s="3">
        <f t="shared" ref="N13:O27" si="5">I13</f>
        <v>0</v>
      </c>
      <c r="O13" s="3" t="e">
        <f>J13</f>
        <v>#DIV/0!</v>
      </c>
      <c r="Q13" s="87">
        <v>16731.736187589693</v>
      </c>
    </row>
    <row r="14" spans="1:17" x14ac:dyDescent="0.25">
      <c r="A14" s="87" t="e">
        <f t="shared" si="3"/>
        <v>#DIV/0!</v>
      </c>
      <c r="B14" s="13">
        <v>3</v>
      </c>
      <c r="C14" s="14" t="e">
        <f>données!C32</f>
        <v>#DIV/0!</v>
      </c>
      <c r="D14" s="68" t="e">
        <f>'raidisseurbis (2)'!B$42*$B$3</f>
        <v>#DIV/0!</v>
      </c>
      <c r="E14" s="117" t="e">
        <f>C14*D14*'raidisseurbis (2)'!E$42</f>
        <v>#DIV/0!</v>
      </c>
      <c r="F14" s="14">
        <f>données!J32</f>
        <v>0</v>
      </c>
      <c r="G14" s="14" t="e">
        <f t="shared" si="4"/>
        <v>#DIV/0!</v>
      </c>
      <c r="H14" s="7" t="e">
        <f t="shared" si="1"/>
        <v>#DIV/0!</v>
      </c>
      <c r="I14" s="28" t="e">
        <f>données!M32</f>
        <v>#DIV/0!</v>
      </c>
      <c r="J14" s="7" t="e">
        <f t="shared" ref="J14" si="6">E14*I14^2/12+E14*H14^2</f>
        <v>#DIV/0!</v>
      </c>
      <c r="K14" s="8"/>
      <c r="M14" s="13">
        <v>3</v>
      </c>
      <c r="N14" s="3" t="e">
        <f t="shared" si="5"/>
        <v>#DIV/0!</v>
      </c>
      <c r="O14" s="3" t="e">
        <f t="shared" si="5"/>
        <v>#DIV/0!</v>
      </c>
      <c r="Q14" s="87">
        <v>16549.57113081171</v>
      </c>
    </row>
    <row r="15" spans="1:17" x14ac:dyDescent="0.25">
      <c r="A15" s="87" t="e">
        <f t="shared" si="3"/>
        <v>#DIV/0!</v>
      </c>
      <c r="B15" s="13">
        <v>4</v>
      </c>
      <c r="C15" s="14" t="e">
        <f>données!C33</f>
        <v>#DIV/0!</v>
      </c>
      <c r="D15" s="68" t="e">
        <f>'raidisseurbis (2)'!B$42*$B$3</f>
        <v>#DIV/0!</v>
      </c>
      <c r="E15" s="117" t="e">
        <f>C15*D15*'raidisseurbis (2)'!E$42</f>
        <v>#DIV/0!</v>
      </c>
      <c r="F15" s="14" t="e">
        <f>données!J33</f>
        <v>#DIV/0!</v>
      </c>
      <c r="G15" s="14" t="e">
        <f t="shared" si="4"/>
        <v>#DIV/0!</v>
      </c>
      <c r="H15" s="7" t="e">
        <f t="shared" si="1"/>
        <v>#DIV/0!</v>
      </c>
      <c r="I15" s="28">
        <f>données!M33</f>
        <v>0</v>
      </c>
      <c r="J15" s="6" t="e">
        <f>D15*(données!$P$3^3*((données!$I$17+SIN(données!$I$17)*COS(données!$I$17))/2-SIN(données!$I$17)^2/données!$I$17))+E15*H15^2</f>
        <v>#DIV/0!</v>
      </c>
      <c r="K15" s="8"/>
      <c r="M15" s="13"/>
      <c r="N15" s="3"/>
      <c r="O15" s="3"/>
      <c r="Q15" s="87">
        <v>10149.948495318249</v>
      </c>
    </row>
    <row r="16" spans="1:17" x14ac:dyDescent="0.25">
      <c r="A16" s="87" t="e">
        <f t="shared" si="3"/>
        <v>#DIV/0!</v>
      </c>
      <c r="B16" s="13">
        <v>51</v>
      </c>
      <c r="C16" s="14" t="e">
        <f>'largeur_eff_semelle bis (2)'!O5-données!I19</f>
        <v>#DIV/0!</v>
      </c>
      <c r="D16" s="68" t="e">
        <f>'raidisseurbis (2)'!B$42*$B$3</f>
        <v>#DIV/0!</v>
      </c>
      <c r="E16" s="117" t="e">
        <f>C16*D16*'raidisseurbis (2)'!E$42</f>
        <v>#DIV/0!</v>
      </c>
      <c r="F16" s="14">
        <f>données!J34</f>
        <v>0</v>
      </c>
      <c r="G16" s="14" t="e">
        <f t="shared" si="4"/>
        <v>#DIV/0!</v>
      </c>
      <c r="H16" s="7" t="e">
        <f t="shared" si="1"/>
        <v>#DIV/0!</v>
      </c>
      <c r="I16" s="28">
        <f>données!M34</f>
        <v>0</v>
      </c>
      <c r="J16" s="7" t="e">
        <f t="shared" ref="J16:J17" si="7">E16*I16^2/12+E16*H16^2</f>
        <v>#DIV/0!</v>
      </c>
      <c r="K16" s="8"/>
      <c r="M16" s="13">
        <v>4</v>
      </c>
      <c r="N16" s="3">
        <f t="shared" si="5"/>
        <v>0</v>
      </c>
      <c r="O16" s="3" t="e">
        <f t="shared" si="5"/>
        <v>#DIV/0!</v>
      </c>
      <c r="Q16" s="87">
        <v>44316.90262521273</v>
      </c>
    </row>
    <row r="17" spans="1:17" x14ac:dyDescent="0.25">
      <c r="A17" s="87"/>
      <c r="B17" s="13">
        <v>52</v>
      </c>
      <c r="C17" s="117" t="e">
        <f>('largeur_eff_semelle bis (2)'!O10-données!C21)</f>
        <v>#DIV/0!</v>
      </c>
      <c r="D17" s="23">
        <f>$B$3</f>
        <v>0</v>
      </c>
      <c r="E17" s="14" t="e">
        <f t="shared" ref="E17:E31" si="8">C17*D17</f>
        <v>#DIV/0!</v>
      </c>
      <c r="F17" s="14">
        <f>données!J34</f>
        <v>0</v>
      </c>
      <c r="G17" s="14" t="e">
        <f t="shared" si="4"/>
        <v>#DIV/0!</v>
      </c>
      <c r="H17" s="7" t="e">
        <f t="shared" si="1"/>
        <v>#DIV/0!</v>
      </c>
      <c r="I17" s="28">
        <f>données!M34</f>
        <v>0</v>
      </c>
      <c r="J17" s="7" t="e">
        <f t="shared" si="7"/>
        <v>#DIV/0!</v>
      </c>
      <c r="K17" s="8"/>
      <c r="M17" s="13">
        <v>5</v>
      </c>
      <c r="N17" s="3">
        <f t="shared" si="5"/>
        <v>0</v>
      </c>
      <c r="O17" s="3" t="e">
        <f t="shared" si="5"/>
        <v>#DIV/0!</v>
      </c>
      <c r="Q17" s="87">
        <v>33894.82308569317</v>
      </c>
    </row>
    <row r="18" spans="1:17" x14ac:dyDescent="0.25">
      <c r="A18" s="87"/>
      <c r="B18" s="13">
        <v>6</v>
      </c>
      <c r="C18" s="14" t="e">
        <f>données!C35</f>
        <v>#DIV/0!</v>
      </c>
      <c r="D18" s="23">
        <f t="shared" ref="D18" si="9">$B$3</f>
        <v>0</v>
      </c>
      <c r="E18" s="14" t="e">
        <f t="shared" si="8"/>
        <v>#DIV/0!</v>
      </c>
      <c r="F18" s="14" t="e">
        <f>données!J35</f>
        <v>#DIV/0!</v>
      </c>
      <c r="G18" s="14" t="e">
        <f t="shared" si="4"/>
        <v>#DIV/0!</v>
      </c>
      <c r="H18" s="7" t="e">
        <f t="shared" si="1"/>
        <v>#DIV/0!</v>
      </c>
      <c r="I18" s="28">
        <f>données!M35</f>
        <v>0</v>
      </c>
      <c r="J18" s="6" t="e">
        <f>D18*données!J$3^3*((données!B$3+SIN(données!B$3)*COS(données!B$3))/2-SIN(données!B$3)^2/données!B$3)+E18*H18^2</f>
        <v>#DIV/0!</v>
      </c>
      <c r="K18" s="8"/>
      <c r="M18" s="13">
        <v>6</v>
      </c>
      <c r="N18" s="3">
        <f t="shared" si="5"/>
        <v>0</v>
      </c>
      <c r="O18" s="3" t="e">
        <f t="shared" si="5"/>
        <v>#DIV/0!</v>
      </c>
      <c r="Q18" s="87">
        <v>22335.374897470152</v>
      </c>
    </row>
    <row r="19" spans="1:17" x14ac:dyDescent="0.25">
      <c r="A19" s="87"/>
      <c r="B19" s="13">
        <v>7</v>
      </c>
      <c r="C19" s="14" t="e">
        <f>données!C36</f>
        <v>#DIV/0!</v>
      </c>
      <c r="D19" s="115">
        <f>$B$3</f>
        <v>0</v>
      </c>
      <c r="E19" s="14" t="e">
        <f t="shared" ref="E19:E21" si="10">C19*D19</f>
        <v>#DIV/0!</v>
      </c>
      <c r="F19" s="14" t="e">
        <f>données!J36</f>
        <v>#DIV/0!</v>
      </c>
      <c r="G19" s="14" t="e">
        <f t="shared" ref="G19:G21" si="11">E19*F19</f>
        <v>#DIV/0!</v>
      </c>
      <c r="H19" s="7" t="e">
        <f t="shared" ref="H19" si="12">$H$32-F19</f>
        <v>#DIV/0!</v>
      </c>
      <c r="I19" s="28" t="e">
        <f>données!M36</f>
        <v>#DIV/0!</v>
      </c>
      <c r="J19" s="7" t="e">
        <f>E19*I19^2/12+E19*H19^2</f>
        <v>#DIV/0!</v>
      </c>
      <c r="K19" s="8"/>
      <c r="M19" s="13"/>
      <c r="N19" s="3"/>
      <c r="O19" s="3"/>
      <c r="Q19" s="87"/>
    </row>
    <row r="20" spans="1:17" x14ac:dyDescent="0.25">
      <c r="A20" s="87"/>
      <c r="B20" s="13" t="s">
        <v>150</v>
      </c>
      <c r="C20" s="14">
        <f>-données!$Q$3</f>
        <v>-14.125</v>
      </c>
      <c r="D20" s="90">
        <f t="shared" ref="D20" si="13">$B$3</f>
        <v>0</v>
      </c>
      <c r="E20" s="14">
        <f t="shared" si="10"/>
        <v>0</v>
      </c>
      <c r="F20" s="14" t="e">
        <f>résistance_section!$F$20</f>
        <v>#DIV/0!</v>
      </c>
      <c r="G20" s="14" t="e">
        <f t="shared" si="11"/>
        <v>#DIV/0!</v>
      </c>
      <c r="H20" s="7" t="e">
        <f>$H$32-F20</f>
        <v>#DIV/0!</v>
      </c>
      <c r="I20" s="124" t="e">
        <f>-C20*SIN(données!$B$3)</f>
        <v>#DIV/0!</v>
      </c>
      <c r="J20" s="7" t="e">
        <f t="shared" ref="J20:J21" si="14">E20*I20^2/12+E20*H20^2</f>
        <v>#DIV/0!</v>
      </c>
      <c r="K20" s="8"/>
      <c r="M20" s="13"/>
      <c r="N20" s="3"/>
      <c r="O20" s="3"/>
      <c r="Q20" s="87"/>
    </row>
    <row r="21" spans="1:17" x14ac:dyDescent="0.25">
      <c r="A21" s="87"/>
      <c r="B21" s="13" t="s">
        <v>150</v>
      </c>
      <c r="C21" s="14">
        <f>données!$Q$3</f>
        <v>14.125</v>
      </c>
      <c r="D21" s="90">
        <f>$B$3*données!P4</f>
        <v>0</v>
      </c>
      <c r="E21" s="14">
        <f t="shared" si="10"/>
        <v>0</v>
      </c>
      <c r="F21" s="14" t="e">
        <f>résistance_section!$F$21</f>
        <v>#DIV/0!</v>
      </c>
      <c r="G21" s="14" t="e">
        <f t="shared" si="11"/>
        <v>#DIV/0!</v>
      </c>
      <c r="H21" s="7" t="e">
        <f t="shared" ref="H21" si="15">$H$32-F21</f>
        <v>#DIV/0!</v>
      </c>
      <c r="I21" s="124" t="e">
        <f>C21*SIN(données!$B$3)</f>
        <v>#DIV/0!</v>
      </c>
      <c r="J21" s="7" t="e">
        <f t="shared" si="14"/>
        <v>#DIV/0!</v>
      </c>
      <c r="K21" s="8"/>
      <c r="M21" s="13"/>
      <c r="N21" s="3"/>
      <c r="O21" s="3"/>
      <c r="Q21" s="87"/>
    </row>
    <row r="22" spans="1:17" x14ac:dyDescent="0.25">
      <c r="A22" s="87"/>
      <c r="B22" s="13">
        <v>8</v>
      </c>
      <c r="C22" s="14" t="e">
        <f>données!C37</f>
        <v>#DIV/0!</v>
      </c>
      <c r="D22" s="23">
        <f>$B$3</f>
        <v>0</v>
      </c>
      <c r="E22" s="14" t="e">
        <f t="shared" si="8"/>
        <v>#DIV/0!</v>
      </c>
      <c r="F22" s="14" t="e">
        <f>données!J37</f>
        <v>#DIV/0!</v>
      </c>
      <c r="G22" s="14" t="e">
        <f t="shared" si="4"/>
        <v>#DIV/0!</v>
      </c>
      <c r="H22" s="7" t="e">
        <f t="shared" ref="H22:H31" si="16">$H$32-F22</f>
        <v>#DIV/0!</v>
      </c>
      <c r="I22" s="28">
        <f>données!M37</f>
        <v>0</v>
      </c>
      <c r="J22" s="6" t="e">
        <f>D22*données!I$3^3*((données!B$3+SIN(données!B$3)*COS(données!B$3))/2-SIN(données!B$3)^2/données!B$3)+E22*H22^2</f>
        <v>#DIV/0!</v>
      </c>
      <c r="K22" s="8"/>
      <c r="M22" s="13"/>
      <c r="N22" s="3"/>
      <c r="O22" s="3"/>
      <c r="Q22" s="87">
        <v>14325.609230741165</v>
      </c>
    </row>
    <row r="23" spans="1:17" x14ac:dyDescent="0.25">
      <c r="A23" s="87"/>
      <c r="B23" s="13">
        <v>9</v>
      </c>
      <c r="C23" s="14" t="e">
        <f>données!C38</f>
        <v>#DIV/0!</v>
      </c>
      <c r="D23" s="23">
        <f>$B$3</f>
        <v>0</v>
      </c>
      <c r="E23" s="14" t="e">
        <f>C23*D23</f>
        <v>#DIV/0!</v>
      </c>
      <c r="F23" s="14">
        <f>données!J38</f>
        <v>0</v>
      </c>
      <c r="G23" s="14" t="e">
        <f t="shared" si="4"/>
        <v>#DIV/0!</v>
      </c>
      <c r="H23" s="7" t="e">
        <f t="shared" si="16"/>
        <v>#DIV/0!</v>
      </c>
      <c r="I23" s="28">
        <f>données!M38</f>
        <v>0</v>
      </c>
      <c r="J23" s="7" t="e">
        <f>E23*I23^2/12+E23*H23^2</f>
        <v>#DIV/0!</v>
      </c>
      <c r="K23" s="8"/>
      <c r="M23" s="13">
        <v>8</v>
      </c>
      <c r="N23" s="3">
        <f t="shared" si="5"/>
        <v>0</v>
      </c>
      <c r="O23" s="3" t="e">
        <f t="shared" si="5"/>
        <v>#DIV/0!</v>
      </c>
      <c r="Q23" s="87">
        <v>5975.1153913010348</v>
      </c>
    </row>
    <row r="24" spans="1:17" x14ac:dyDescent="0.25">
      <c r="A24" s="87"/>
      <c r="B24" s="13">
        <v>10</v>
      </c>
      <c r="C24" s="14" t="e">
        <f>données!C39</f>
        <v>#DIV/0!</v>
      </c>
      <c r="D24" s="23">
        <f>$B$3</f>
        <v>0</v>
      </c>
      <c r="E24" s="14" t="e">
        <f t="shared" si="8"/>
        <v>#DIV/0!</v>
      </c>
      <c r="F24" s="14" t="e">
        <f>données!J39</f>
        <v>#DIV/0!</v>
      </c>
      <c r="G24" s="14" t="e">
        <f t="shared" si="4"/>
        <v>#DIV/0!</v>
      </c>
      <c r="H24" s="7" t="e">
        <f t="shared" si="16"/>
        <v>#DIV/0!</v>
      </c>
      <c r="I24" s="28">
        <f>données!M39</f>
        <v>0</v>
      </c>
      <c r="J24" s="6" t="e">
        <f>D24*0^3*((données!C$3+SIN(données!C$3)*COS(données!C$3))/2-SIN(données!C$3)^2/données!C$3)+E24*H24^2</f>
        <v>#DIV/0!</v>
      </c>
      <c r="K24" s="8"/>
      <c r="M24" s="13">
        <v>9</v>
      </c>
      <c r="N24" s="3">
        <f t="shared" si="5"/>
        <v>0</v>
      </c>
      <c r="O24" s="3" t="e">
        <f t="shared" si="5"/>
        <v>#DIV/0!</v>
      </c>
      <c r="Q24" s="87">
        <v>8624.8621577395097</v>
      </c>
    </row>
    <row r="25" spans="1:17" x14ac:dyDescent="0.25">
      <c r="A25" s="5"/>
      <c r="B25" s="13">
        <v>11</v>
      </c>
      <c r="C25" s="14" t="e">
        <f>données!C40</f>
        <v>#DIV/0!</v>
      </c>
      <c r="D25" s="23">
        <f t="shared" ref="D25:D31" si="17">$B$3</f>
        <v>0</v>
      </c>
      <c r="E25" s="14" t="e">
        <f t="shared" si="8"/>
        <v>#DIV/0!</v>
      </c>
      <c r="F25" s="14">
        <f>données!J40</f>
        <v>0</v>
      </c>
      <c r="G25" s="14" t="e">
        <f t="shared" si="4"/>
        <v>#DIV/0!</v>
      </c>
      <c r="H25" s="7" t="e">
        <f t="shared" si="16"/>
        <v>#DIV/0!</v>
      </c>
      <c r="I25" s="28" t="e">
        <f>données!M40</f>
        <v>#DIV/0!</v>
      </c>
      <c r="J25" s="7" t="e">
        <f>E25*I25^2/12+E25*H25^2</f>
        <v>#DIV/0!</v>
      </c>
      <c r="K25" s="8"/>
      <c r="M25" s="13">
        <v>10</v>
      </c>
      <c r="N25" s="3" t="e">
        <f t="shared" si="5"/>
        <v>#DIV/0!</v>
      </c>
      <c r="O25" s="3" t="e">
        <f t="shared" si="5"/>
        <v>#DIV/0!</v>
      </c>
      <c r="Q25" s="5">
        <v>2489.4181828516225</v>
      </c>
    </row>
    <row r="26" spans="1:17" x14ac:dyDescent="0.25">
      <c r="A26" s="5"/>
      <c r="B26" s="13">
        <v>12</v>
      </c>
      <c r="C26" s="14" t="e">
        <f>données!C41</f>
        <v>#DIV/0!</v>
      </c>
      <c r="D26" s="23">
        <f t="shared" si="17"/>
        <v>0</v>
      </c>
      <c r="E26" s="14" t="e">
        <f t="shared" si="8"/>
        <v>#DIV/0!</v>
      </c>
      <c r="F26" s="14" t="e">
        <f>données!J41</f>
        <v>#DIV/0!</v>
      </c>
      <c r="G26" s="14" t="e">
        <f t="shared" si="4"/>
        <v>#DIV/0!</v>
      </c>
      <c r="H26" s="7" t="e">
        <f t="shared" si="16"/>
        <v>#DIV/0!</v>
      </c>
      <c r="I26" s="28">
        <f>données!M41</f>
        <v>0</v>
      </c>
      <c r="J26" s="6" t="e">
        <f>D26*0^3*((données!C$3+SIN(données!C$3)*COS(données!C$3))/2-SIN(données!C$3)^2/données!C$3)+E26*H26^2</f>
        <v>#DIV/0!</v>
      </c>
      <c r="K26" s="8"/>
      <c r="M26" s="13">
        <v>11</v>
      </c>
      <c r="N26" s="3">
        <f t="shared" si="5"/>
        <v>0</v>
      </c>
      <c r="O26" s="3" t="e">
        <f t="shared" si="5"/>
        <v>#DIV/0!</v>
      </c>
      <c r="Q26" s="5">
        <v>6653.0132462047468</v>
      </c>
    </row>
    <row r="27" spans="1:17" x14ac:dyDescent="0.25">
      <c r="A27" s="5"/>
      <c r="B27" s="13">
        <v>13</v>
      </c>
      <c r="C27" s="14" t="e">
        <f>données!C42</f>
        <v>#DIV/0!</v>
      </c>
      <c r="D27" s="23">
        <f t="shared" si="17"/>
        <v>0</v>
      </c>
      <c r="E27" s="14" t="e">
        <f t="shared" si="8"/>
        <v>#DIV/0!</v>
      </c>
      <c r="F27" s="14">
        <f>données!J42</f>
        <v>0</v>
      </c>
      <c r="G27" s="14" t="e">
        <f t="shared" si="4"/>
        <v>#DIV/0!</v>
      </c>
      <c r="H27" s="7" t="e">
        <f t="shared" si="16"/>
        <v>#DIV/0!</v>
      </c>
      <c r="I27" s="28">
        <f>données!M42</f>
        <v>0</v>
      </c>
      <c r="J27" s="7" t="e">
        <f t="shared" ref="J27:J31" si="18">E27*I27^2/12+E27*H27^2</f>
        <v>#DIV/0!</v>
      </c>
      <c r="K27" s="8"/>
      <c r="M27" s="13">
        <v>12</v>
      </c>
      <c r="N27" s="3">
        <f t="shared" si="5"/>
        <v>0</v>
      </c>
      <c r="O27" s="3" t="e">
        <f t="shared" si="5"/>
        <v>#DIV/0!</v>
      </c>
      <c r="Q27" s="5">
        <v>2489.4181828516225</v>
      </c>
    </row>
    <row r="28" spans="1:17" x14ac:dyDescent="0.25">
      <c r="A28" s="5"/>
      <c r="B28" s="13">
        <v>14</v>
      </c>
      <c r="C28" s="14" t="e">
        <f>données!C43</f>
        <v>#DIV/0!</v>
      </c>
      <c r="D28" s="23">
        <f t="shared" si="17"/>
        <v>0</v>
      </c>
      <c r="E28" s="14" t="e">
        <f t="shared" si="8"/>
        <v>#DIV/0!</v>
      </c>
      <c r="F28" s="14" t="e">
        <f>données!J43</f>
        <v>#DIV/0!</v>
      </c>
      <c r="G28" s="14" t="e">
        <f t="shared" si="4"/>
        <v>#DIV/0!</v>
      </c>
      <c r="H28" s="7" t="e">
        <f t="shared" si="16"/>
        <v>#DIV/0!</v>
      </c>
      <c r="I28" s="28">
        <f>données!M43</f>
        <v>0</v>
      </c>
      <c r="J28" s="6" t="e">
        <f>D28*0^3*((données!C$3+SIN(données!C$3)*COS(données!C$3))/2-SIN(données!C$3)^2/données!C$3)+E28*H28^2</f>
        <v>#DIV/0!</v>
      </c>
      <c r="K28" s="8"/>
      <c r="M28" s="13"/>
      <c r="N28" s="3"/>
      <c r="O28" s="3"/>
      <c r="Q28" s="5">
        <v>8624.8621577395097</v>
      </c>
    </row>
    <row r="29" spans="1:17" x14ac:dyDescent="0.25">
      <c r="B29" s="13">
        <v>15</v>
      </c>
      <c r="C29" s="14" t="e">
        <f>données!C44</f>
        <v>#DIV/0!</v>
      </c>
      <c r="D29" s="23">
        <f t="shared" si="17"/>
        <v>0</v>
      </c>
      <c r="E29" s="14" t="e">
        <f t="shared" si="8"/>
        <v>#DIV/0!</v>
      </c>
      <c r="F29" s="14">
        <f>données!J44</f>
        <v>0</v>
      </c>
      <c r="G29" s="14" t="e">
        <f t="shared" si="4"/>
        <v>#DIV/0!</v>
      </c>
      <c r="H29" s="7" t="e">
        <f t="shared" si="16"/>
        <v>#DIV/0!</v>
      </c>
      <c r="I29" s="28" t="e">
        <f>données!M44</f>
        <v>#DIV/0!</v>
      </c>
      <c r="J29" s="7" t="e">
        <f t="shared" si="18"/>
        <v>#DIV/0!</v>
      </c>
      <c r="K29" s="8"/>
      <c r="M29" s="13"/>
      <c r="N29" s="3"/>
      <c r="O29" s="3"/>
      <c r="Q29" s="5">
        <v>5975.1153913010348</v>
      </c>
    </row>
    <row r="30" spans="1:17" x14ac:dyDescent="0.25">
      <c r="B30" s="13">
        <v>16</v>
      </c>
      <c r="C30" s="14" t="e">
        <f>données!C45</f>
        <v>#DIV/0!</v>
      </c>
      <c r="D30" s="23">
        <f t="shared" si="17"/>
        <v>0</v>
      </c>
      <c r="E30" s="14" t="e">
        <f t="shared" si="8"/>
        <v>#DIV/0!</v>
      </c>
      <c r="F30" s="14" t="e">
        <f>données!J45</f>
        <v>#DIV/0!</v>
      </c>
      <c r="G30" s="14" t="e">
        <f t="shared" si="4"/>
        <v>#DIV/0!</v>
      </c>
      <c r="H30" s="7" t="e">
        <f t="shared" si="16"/>
        <v>#DIV/0!</v>
      </c>
      <c r="I30" s="28">
        <f>données!M45</f>
        <v>0</v>
      </c>
      <c r="J30" s="6" t="e">
        <f>D30*0^3*((données!C$3+SIN(données!C$3)*COS(données!C$3))/2-SIN(données!C$3)^2/données!C$3)+E30*H30^2</f>
        <v>#DIV/0!</v>
      </c>
      <c r="K30" s="8"/>
      <c r="M30" s="13"/>
      <c r="N30" s="3"/>
      <c r="O30" s="3"/>
      <c r="Q30" s="5">
        <v>29948.196285118844</v>
      </c>
    </row>
    <row r="31" spans="1:17" x14ac:dyDescent="0.25">
      <c r="B31" s="13">
        <v>17</v>
      </c>
      <c r="C31" s="14" t="e">
        <f>données!C46</f>
        <v>#DIV/0!</v>
      </c>
      <c r="D31" s="23">
        <f t="shared" si="17"/>
        <v>0</v>
      </c>
      <c r="E31" s="14" t="e">
        <f t="shared" si="8"/>
        <v>#DIV/0!</v>
      </c>
      <c r="F31" s="14">
        <f>données!J46</f>
        <v>0</v>
      </c>
      <c r="G31" s="14" t="e">
        <f t="shared" si="4"/>
        <v>#DIV/0!</v>
      </c>
      <c r="H31" s="7" t="e">
        <f t="shared" si="16"/>
        <v>#DIV/0!</v>
      </c>
      <c r="I31" s="28">
        <f>données!M46</f>
        <v>0</v>
      </c>
      <c r="J31" s="7" t="e">
        <f t="shared" si="18"/>
        <v>#DIV/0!</v>
      </c>
      <c r="K31" s="8"/>
      <c r="M31" s="13"/>
      <c r="N31" s="3"/>
      <c r="O31" s="3"/>
    </row>
    <row r="32" spans="1:17" x14ac:dyDescent="0.25">
      <c r="B32" s="13" t="s">
        <v>6</v>
      </c>
      <c r="C32" s="8"/>
      <c r="D32" s="8"/>
      <c r="E32" s="24" t="e">
        <f>SUM(E11:E31)</f>
        <v>#DIV/0!</v>
      </c>
      <c r="F32" s="8"/>
      <c r="G32" s="24" t="e">
        <f>SUM(G11:G31)</f>
        <v>#DIV/0!</v>
      </c>
      <c r="H32" s="120" t="e">
        <f>G32/E32</f>
        <v>#DIV/0!</v>
      </c>
      <c r="I32" s="8"/>
      <c r="J32" s="12" t="e">
        <f>SUM(J11:J31)</f>
        <v>#DIV/0!</v>
      </c>
      <c r="K32" s="8" t="s">
        <v>93</v>
      </c>
      <c r="M32" s="13" t="s">
        <v>6</v>
      </c>
      <c r="N32" s="1"/>
      <c r="O32" s="3" t="e">
        <f t="shared" ref="O32:O33" si="19">J32</f>
        <v>#DIV/0!</v>
      </c>
    </row>
    <row r="33" spans="2:15" x14ac:dyDescent="0.25">
      <c r="B33" s="8"/>
      <c r="C33" s="8"/>
      <c r="D33" s="8"/>
      <c r="E33" s="8"/>
      <c r="F33" s="8"/>
      <c r="G33" s="8"/>
      <c r="H33" s="9" t="e">
        <f>données!L3-H32</f>
        <v>#DIV/0!</v>
      </c>
      <c r="I33" s="8"/>
      <c r="J33" s="8" t="e">
        <f>J32*2</f>
        <v>#DIV/0!</v>
      </c>
      <c r="K33" s="8" t="s">
        <v>95</v>
      </c>
      <c r="O33" s="30" t="e">
        <f t="shared" si="19"/>
        <v>#DIV/0!</v>
      </c>
    </row>
    <row r="34" spans="2:15" x14ac:dyDescent="0.25">
      <c r="B34" s="8" t="s">
        <v>55</v>
      </c>
      <c r="C34" s="8" t="e">
        <f>J32/MAX(H32,H33)</f>
        <v>#DIV/0!</v>
      </c>
      <c r="D34" s="8" t="s">
        <v>93</v>
      </c>
      <c r="E34" s="8"/>
      <c r="F34" s="8"/>
      <c r="G34" s="8"/>
      <c r="H34" s="8"/>
      <c r="I34" s="8"/>
      <c r="J34" s="8" t="e">
        <f>J33/données!K3</f>
        <v>#DIV/0!</v>
      </c>
      <c r="K34" s="8" t="s">
        <v>130</v>
      </c>
    </row>
    <row r="35" spans="2:15" x14ac:dyDescent="0.25">
      <c r="B35" s="8" t="s">
        <v>55</v>
      </c>
      <c r="C35" s="8" t="e">
        <f>2*C34</f>
        <v>#DIV/0!</v>
      </c>
      <c r="D35" s="8" t="s">
        <v>95</v>
      </c>
      <c r="E35" s="8"/>
      <c r="F35" s="8"/>
      <c r="G35" s="8"/>
      <c r="H35" s="8"/>
      <c r="I35" s="8"/>
      <c r="J35" s="8"/>
      <c r="K35" s="8"/>
    </row>
    <row r="36" spans="2:15" x14ac:dyDescent="0.25">
      <c r="B36" s="8" t="s">
        <v>55</v>
      </c>
      <c r="C36" s="8" t="e">
        <f>C35/données!K3</f>
        <v>#DIV/0!</v>
      </c>
      <c r="D36" s="8" t="s">
        <v>96</v>
      </c>
      <c r="E36" s="8"/>
      <c r="F36" s="8"/>
      <c r="G36" s="8"/>
      <c r="H36" s="8"/>
      <c r="I36" s="8"/>
      <c r="J36" s="8"/>
      <c r="K36" s="8"/>
    </row>
    <row r="37" spans="2:15" x14ac:dyDescent="0.25"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2:15" x14ac:dyDescent="0.25">
      <c r="B38" s="8" t="s">
        <v>13</v>
      </c>
      <c r="C38" s="8" t="s">
        <v>13</v>
      </c>
      <c r="D38" s="8"/>
      <c r="E38" s="8"/>
      <c r="F38" s="8"/>
      <c r="G38" s="8"/>
      <c r="H38" s="8"/>
      <c r="I38" s="8"/>
      <c r="J38" s="8"/>
      <c r="K38" s="8"/>
    </row>
    <row r="39" spans="2:15" x14ac:dyDescent="0.25">
      <c r="B39" s="88" t="e">
        <f>D3*C36*1</f>
        <v>#DIV/0!</v>
      </c>
      <c r="C39" s="88" t="s">
        <v>97</v>
      </c>
      <c r="D39" s="89"/>
      <c r="E39" s="89" t="e">
        <f>B39*0.965</f>
        <v>#DIV/0!</v>
      </c>
      <c r="F39" s="91">
        <v>7843.1501932231167</v>
      </c>
      <c r="G39" s="8"/>
      <c r="H39" s="8"/>
      <c r="I39" s="8"/>
      <c r="J39" s="8"/>
      <c r="K39" s="8"/>
    </row>
    <row r="40" spans="2:15" x14ac:dyDescent="0.25">
      <c r="B40" s="55" t="e">
        <f>B39/1000</f>
        <v>#DIV/0!</v>
      </c>
      <c r="C40" t="s">
        <v>98</v>
      </c>
      <c r="D40" t="e">
        <f>(21.73-B40)/21.73</f>
        <v>#DIV/0!</v>
      </c>
    </row>
    <row r="41" spans="2:15" x14ac:dyDescent="0.25">
      <c r="B41" s="29"/>
    </row>
    <row r="42" spans="2:15" x14ac:dyDescent="0.25">
      <c r="B42" s="29"/>
    </row>
    <row r="43" spans="2:15" x14ac:dyDescent="0.25">
      <c r="B43" s="29"/>
    </row>
    <row r="44" spans="2:15" x14ac:dyDescent="0.25">
      <c r="B44" s="2" t="s">
        <v>15</v>
      </c>
      <c r="C44" s="2" t="s">
        <v>34</v>
      </c>
      <c r="D44" s="2" t="s">
        <v>7</v>
      </c>
    </row>
    <row r="45" spans="2:15" x14ac:dyDescent="0.25">
      <c r="B45" s="2">
        <v>1</v>
      </c>
      <c r="C45" s="2">
        <v>0</v>
      </c>
      <c r="D45" s="2">
        <f>D47</f>
        <v>112</v>
      </c>
    </row>
    <row r="46" spans="2:15" x14ac:dyDescent="0.25">
      <c r="B46" s="2">
        <v>2</v>
      </c>
      <c r="C46" s="7">
        <f>C47-largeur_eff_semelle!O10</f>
        <v>15</v>
      </c>
      <c r="D46" s="2">
        <f>D47</f>
        <v>112</v>
      </c>
    </row>
    <row r="47" spans="2:15" x14ac:dyDescent="0.25">
      <c r="B47" s="2">
        <v>3</v>
      </c>
      <c r="C47" s="2">
        <f>C45+30/2</f>
        <v>15</v>
      </c>
      <c r="D47" s="2">
        <f>D49</f>
        <v>112</v>
      </c>
    </row>
    <row r="48" spans="2:15" x14ac:dyDescent="0.25">
      <c r="B48" s="2">
        <v>4</v>
      </c>
      <c r="C48" s="2">
        <f>C47+7</f>
        <v>22</v>
      </c>
      <c r="D48" s="2">
        <f>D49-7</f>
        <v>105</v>
      </c>
    </row>
    <row r="49" spans="2:4" x14ac:dyDescent="0.25">
      <c r="B49" s="2">
        <v>5</v>
      </c>
      <c r="C49" s="2">
        <f>C48+7</f>
        <v>29</v>
      </c>
      <c r="D49" s="2">
        <f>D50</f>
        <v>112</v>
      </c>
    </row>
    <row r="50" spans="2:4" x14ac:dyDescent="0.25">
      <c r="B50" s="2">
        <v>6</v>
      </c>
      <c r="C50" s="7" t="e">
        <f>C49+largeur_eff_semelle!O5</f>
        <v>#DIV/0!</v>
      </c>
      <c r="D50" s="2">
        <f>D55+30</f>
        <v>112</v>
      </c>
    </row>
    <row r="51" spans="2:4" x14ac:dyDescent="0.25">
      <c r="B51" s="2">
        <v>7</v>
      </c>
      <c r="C51" s="7" t="e">
        <f>C49+données!E7-largeur_eff_semelle!O5</f>
        <v>#DIV/0!</v>
      </c>
      <c r="D51" s="2">
        <f>D55+30</f>
        <v>112</v>
      </c>
    </row>
    <row r="52" spans="2:4" x14ac:dyDescent="0.25">
      <c r="B52" s="2">
        <v>8</v>
      </c>
      <c r="C52" s="7">
        <f>C49+données!E7</f>
        <v>29</v>
      </c>
      <c r="D52" s="2">
        <f>D55+30</f>
        <v>112</v>
      </c>
    </row>
    <row r="53" spans="2:4" x14ac:dyDescent="0.25">
      <c r="B53" s="2">
        <v>9</v>
      </c>
      <c r="C53" s="7" t="e">
        <f>C52+COS(données!D3)*largeur_eff_ame!C6</f>
        <v>#DIV/0!</v>
      </c>
      <c r="D53" s="7" t="e">
        <f>D52+SIN('résistance_section (2)'!D3)*largeur_eff_ame!C6</f>
        <v>#DIV/0!</v>
      </c>
    </row>
    <row r="54" spans="2:4" x14ac:dyDescent="0.25">
      <c r="B54" s="2">
        <v>10</v>
      </c>
      <c r="C54" s="7" t="e">
        <f>C55-COS(données!D3)*largeur_eff_ame!C24</f>
        <v>#DIV/0!</v>
      </c>
      <c r="D54" s="7" t="e">
        <f>D55+SIN(données!D3)*largeur_eff_ame!C24</f>
        <v>#DIV/0!</v>
      </c>
    </row>
    <row r="55" spans="2:4" x14ac:dyDescent="0.25">
      <c r="B55" s="2">
        <v>11</v>
      </c>
      <c r="C55" s="7">
        <f>C52+4</f>
        <v>33</v>
      </c>
      <c r="D55" s="7">
        <f>D56+7</f>
        <v>82</v>
      </c>
    </row>
    <row r="56" spans="2:4" x14ac:dyDescent="0.25">
      <c r="B56" s="2">
        <v>12</v>
      </c>
      <c r="C56" s="7">
        <f>C55+10</f>
        <v>43</v>
      </c>
      <c r="D56" s="7">
        <v>75</v>
      </c>
    </row>
    <row r="57" spans="2:4" x14ac:dyDescent="0.25">
      <c r="B57" s="2">
        <v>13</v>
      </c>
      <c r="C57" s="7" t="e">
        <f>C56+COS(données!D3)*largeur_eff_ame!G27</f>
        <v>#DIV/0!</v>
      </c>
      <c r="D57" s="7" t="e">
        <f>D56-SIN(données!D3)*largeur_eff_ame!G27</f>
        <v>#DIV/0!</v>
      </c>
    </row>
    <row r="58" spans="2:4" x14ac:dyDescent="0.25">
      <c r="B58" s="2">
        <v>14</v>
      </c>
      <c r="C58" s="7" t="e">
        <f>C56+COS(données!D3)*(largeur_eff_ame!E27-largeur_eff_ame!H24)</f>
        <v>#DIV/0!</v>
      </c>
      <c r="D58" s="7" t="e">
        <f>D56-SIN(données!D3)*(largeur_eff_ame!E27-largeur_eff_ame!H24)</f>
        <v>#DIV/0!</v>
      </c>
    </row>
    <row r="59" spans="2:4" x14ac:dyDescent="0.25">
      <c r="B59" s="2">
        <v>15</v>
      </c>
      <c r="C59" s="7" t="e">
        <f>C56+COS(données!D3)*largeur_eff_ame!E27</f>
        <v>#DIV/0!</v>
      </c>
      <c r="D59" s="7" t="e">
        <f>D56-SIN(données!D3)*largeur_eff_ame!E27</f>
        <v>#DIV/0!</v>
      </c>
    </row>
    <row r="60" spans="2:4" x14ac:dyDescent="0.25">
      <c r="B60" s="2">
        <v>14</v>
      </c>
      <c r="C60" s="2">
        <f>C56+10</f>
        <v>53</v>
      </c>
      <c r="D60" s="2">
        <v>0</v>
      </c>
    </row>
    <row r="61" spans="2:4" x14ac:dyDescent="0.25">
      <c r="B61" s="2">
        <v>15</v>
      </c>
      <c r="C61" s="2">
        <f>C60+36</f>
        <v>89</v>
      </c>
      <c r="D61" s="2">
        <v>0</v>
      </c>
    </row>
    <row r="62" spans="2:4" x14ac:dyDescent="0.25">
      <c r="B62" s="2">
        <v>16</v>
      </c>
      <c r="C62" s="2">
        <f>C61+8</f>
        <v>97</v>
      </c>
      <c r="D62" s="2">
        <v>7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windowProtection="1" workbookViewId="0">
      <selection activeCell="J5" sqref="J5"/>
    </sheetView>
  </sheetViews>
  <sheetFormatPr baseColWidth="10" defaultRowHeight="15" x14ac:dyDescent="0.25"/>
  <cols>
    <col min="2" max="2" width="5.42578125" bestFit="1" customWidth="1"/>
    <col min="3" max="3" width="4.42578125" bestFit="1" customWidth="1"/>
    <col min="4" max="4" width="11.28515625" bestFit="1" customWidth="1"/>
    <col min="5" max="5" width="10.28515625" bestFit="1" customWidth="1"/>
    <col min="6" max="6" width="4.42578125" bestFit="1" customWidth="1"/>
    <col min="7" max="7" width="6.85546875" customWidth="1"/>
    <col min="8" max="8" width="4.42578125" customWidth="1"/>
    <col min="9" max="9" width="5.42578125" bestFit="1" customWidth="1"/>
    <col min="10" max="10" width="7.140625" customWidth="1"/>
    <col min="11" max="11" width="5.42578125" customWidth="1"/>
    <col min="12" max="12" width="7.7109375" customWidth="1"/>
    <col min="13" max="13" width="5.42578125" bestFit="1" customWidth="1"/>
    <col min="14" max="14" width="7.85546875" bestFit="1" customWidth="1"/>
    <col min="15" max="15" width="8.42578125" bestFit="1" customWidth="1"/>
  </cols>
  <sheetData>
    <row r="2" spans="2:15" x14ac:dyDescent="0.25">
      <c r="B2" s="8" t="s">
        <v>17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6.5" x14ac:dyDescent="0.3">
      <c r="B4" s="2" t="s">
        <v>21</v>
      </c>
      <c r="C4" s="2" t="s">
        <v>0</v>
      </c>
      <c r="D4" s="2" t="s">
        <v>20</v>
      </c>
      <c r="E4" s="2" t="s">
        <v>2</v>
      </c>
      <c r="F4" s="2" t="s">
        <v>1</v>
      </c>
      <c r="G4" s="42" t="s">
        <v>80</v>
      </c>
      <c r="H4" s="39" t="s">
        <v>76</v>
      </c>
      <c r="I4" s="2" t="s">
        <v>22</v>
      </c>
      <c r="J4" s="40" t="s">
        <v>78</v>
      </c>
      <c r="K4" s="41" t="s">
        <v>79</v>
      </c>
      <c r="L4" s="2" t="s">
        <v>77</v>
      </c>
      <c r="M4" s="2" t="s">
        <v>3</v>
      </c>
      <c r="N4" s="10" t="s">
        <v>23</v>
      </c>
      <c r="O4" s="10" t="s">
        <v>4</v>
      </c>
    </row>
    <row r="5" spans="2:15" x14ac:dyDescent="0.25">
      <c r="B5" s="7" t="e">
        <f>largeur_eff_semelle!B5</f>
        <v>#DIV/0!</v>
      </c>
      <c r="C5" s="7">
        <f>données!E3</f>
        <v>0</v>
      </c>
      <c r="D5" s="37">
        <f>données!G3</f>
        <v>0</v>
      </c>
      <c r="E5" s="7">
        <f>données!H3</f>
        <v>0</v>
      </c>
      <c r="F5" s="7">
        <v>4</v>
      </c>
      <c r="G5" s="7">
        <v>1</v>
      </c>
      <c r="H5" s="7" t="e">
        <f>(235/D5)^0.5</f>
        <v>#DIV/0!</v>
      </c>
      <c r="I5" s="11" t="e">
        <f>B5/C5/28.4/H5/(F5)^0.5</f>
        <v>#DIV/0!</v>
      </c>
      <c r="J5" s="11" t="e">
        <f>MIN(D5,D5*(données!L3-'résistance_section (2)'!H32)/'résistance_section (2)'!H32)</f>
        <v>#DIV/0!</v>
      </c>
      <c r="K5" s="11">
        <v>1</v>
      </c>
      <c r="L5" s="11" t="e">
        <f>I5*SQRT(J5/D5/K5)</f>
        <v>#DIV/0!</v>
      </c>
      <c r="M5" s="11" t="e">
        <f>IF(L5&gt;0.673,(L5-0.055*(3+G5))/L5^2+0.18*(I5-L5)/(I5-0.6),1)</f>
        <v>#DIV/0!</v>
      </c>
      <c r="N5" s="7" t="e">
        <f>M5*B5</f>
        <v>#DIV/0!</v>
      </c>
      <c r="O5" s="65" t="e">
        <f>MAX(N5/2,données!C21)</f>
        <v>#DIV/0!</v>
      </c>
    </row>
    <row r="6" spans="2:15" x14ac:dyDescent="0.25">
      <c r="B6" s="8"/>
      <c r="C6" s="8"/>
      <c r="D6" s="3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5" x14ac:dyDescent="0.25">
      <c r="B7" s="8"/>
      <c r="C7" s="8"/>
      <c r="D7" s="3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2:15" x14ac:dyDescent="0.25">
      <c r="B8" s="8"/>
      <c r="C8" s="8"/>
      <c r="D8" s="3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2:15" x14ac:dyDescent="0.25">
      <c r="B9" s="2"/>
      <c r="C9" s="2"/>
      <c r="D9" s="10"/>
      <c r="E9" s="2"/>
      <c r="F9" s="2"/>
      <c r="G9" s="42"/>
      <c r="H9" s="39"/>
      <c r="I9" s="2"/>
      <c r="J9" s="40"/>
      <c r="K9" s="41"/>
      <c r="L9" s="2"/>
      <c r="M9" s="2"/>
      <c r="N9" s="10"/>
      <c r="O9" s="10"/>
    </row>
    <row r="10" spans="2:15" x14ac:dyDescent="0.25">
      <c r="B10" s="12"/>
      <c r="C10" s="7"/>
      <c r="D10" s="37"/>
      <c r="E10" s="7"/>
      <c r="F10" s="7"/>
      <c r="G10" s="7"/>
      <c r="H10" s="7"/>
      <c r="I10" s="11"/>
      <c r="J10" s="11"/>
      <c r="K10" s="11"/>
      <c r="L10" s="11"/>
      <c r="M10" s="11"/>
      <c r="N10" s="7"/>
      <c r="O10" s="65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windowProtection="1" topLeftCell="A12" workbookViewId="0">
      <selection activeCell="E43" sqref="E43"/>
    </sheetView>
  </sheetViews>
  <sheetFormatPr baseColWidth="10" defaultRowHeight="15" x14ac:dyDescent="0.25"/>
  <cols>
    <col min="2" max="2" width="11.42578125" bestFit="1" customWidth="1"/>
    <col min="3" max="3" width="7.7109375" bestFit="1" customWidth="1"/>
    <col min="4" max="4" width="8.28515625" bestFit="1" customWidth="1"/>
    <col min="5" max="5" width="11.140625" customWidth="1"/>
    <col min="6" max="6" width="8.42578125" customWidth="1"/>
    <col min="7" max="7" width="10.28515625" bestFit="1" customWidth="1"/>
    <col min="8" max="8" width="7.42578125" bestFit="1" customWidth="1"/>
    <col min="11" max="11" width="14.85546875" bestFit="1" customWidth="1"/>
    <col min="12" max="12" width="17" customWidth="1"/>
    <col min="13" max="13" width="17" bestFit="1" customWidth="1"/>
    <col min="14" max="15" width="14.85546875" bestFit="1" customWidth="1"/>
    <col min="16" max="16" width="16.140625" bestFit="1" customWidth="1"/>
    <col min="17" max="17" width="17" bestFit="1" customWidth="1"/>
    <col min="18" max="18" width="14.85546875" bestFit="1" customWidth="1"/>
  </cols>
  <sheetData>
    <row r="2" spans="1:18" ht="16.5" x14ac:dyDescent="0.3">
      <c r="B2" s="2" t="s">
        <v>24</v>
      </c>
      <c r="C2" s="2" t="s">
        <v>21</v>
      </c>
      <c r="D2" s="2" t="s">
        <v>0</v>
      </c>
      <c r="E2" s="2" t="s">
        <v>2</v>
      </c>
      <c r="F2" s="10" t="s">
        <v>8</v>
      </c>
      <c r="G2" s="8"/>
      <c r="H2" s="8"/>
      <c r="I2" s="8"/>
      <c r="J2" s="8"/>
    </row>
    <row r="3" spans="1:18" x14ac:dyDescent="0.25">
      <c r="B3" s="7" t="e">
        <f>(données!C30+données!C31+données!C32+données!C33/2)*2</f>
        <v>#DIV/0!</v>
      </c>
      <c r="C3" s="7" t="e">
        <f>largeur_eff_semelle!B5</f>
        <v>#DIV/0!</v>
      </c>
      <c r="D3" s="2">
        <f>données!E3</f>
        <v>0</v>
      </c>
      <c r="E3" s="7">
        <f>données!H3</f>
        <v>0</v>
      </c>
      <c r="F3" s="12">
        <f>données!D6</f>
        <v>0</v>
      </c>
      <c r="G3" s="8"/>
      <c r="H3" s="8"/>
      <c r="I3" s="8"/>
      <c r="J3" s="8"/>
    </row>
    <row r="4" spans="1:18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8.75" x14ac:dyDescent="0.3">
      <c r="B5" s="13" t="s">
        <v>5</v>
      </c>
      <c r="C5" s="13" t="s">
        <v>44</v>
      </c>
      <c r="D5" s="13" t="s">
        <v>47</v>
      </c>
      <c r="E5" s="13" t="s">
        <v>45</v>
      </c>
      <c r="F5" s="13" t="s">
        <v>48</v>
      </c>
      <c r="G5" s="13" t="s">
        <v>46</v>
      </c>
      <c r="H5" s="13" t="s">
        <v>8</v>
      </c>
      <c r="I5" s="13" t="s">
        <v>49</v>
      </c>
      <c r="J5" s="8"/>
      <c r="K5" s="13" t="s">
        <v>35</v>
      </c>
      <c r="L5" s="13" t="s">
        <v>36</v>
      </c>
      <c r="M5" s="13" t="s">
        <v>37</v>
      </c>
      <c r="N5" s="13" t="s">
        <v>38</v>
      </c>
      <c r="O5" s="13" t="s">
        <v>39</v>
      </c>
      <c r="P5" s="13" t="s">
        <v>40</v>
      </c>
      <c r="Q5" s="13" t="s">
        <v>41</v>
      </c>
      <c r="R5" s="13"/>
    </row>
    <row r="6" spans="1:18" ht="18.75" x14ac:dyDescent="0.3">
      <c r="A6" s="4"/>
      <c r="B6" s="13" t="s">
        <v>81</v>
      </c>
      <c r="C6" s="14" t="e">
        <f>15*D3-données!I19</f>
        <v>#DIV/0!</v>
      </c>
      <c r="D6" s="14" t="e">
        <f>C6*$D$3</f>
        <v>#DIV/0!</v>
      </c>
      <c r="E6" s="14">
        <v>0</v>
      </c>
      <c r="F6" s="14" t="e">
        <f>D6*E6</f>
        <v>#DIV/0!</v>
      </c>
      <c r="G6" s="15" t="e">
        <f>$G$16-E6</f>
        <v>#DIV/0!</v>
      </c>
      <c r="H6" s="15">
        <f>D3</f>
        <v>0</v>
      </c>
      <c r="I6" s="7" t="e">
        <f>D6*H6^2/12+D6*G6^2</f>
        <v>#DIV/0!</v>
      </c>
      <c r="J6" s="8"/>
      <c r="K6" s="2" t="s">
        <v>42</v>
      </c>
      <c r="L6" s="2"/>
      <c r="M6" s="2" t="s">
        <v>43</v>
      </c>
      <c r="N6" s="2"/>
      <c r="O6" s="2" t="s">
        <v>101</v>
      </c>
      <c r="P6" s="2"/>
      <c r="Q6" s="2" t="s">
        <v>102</v>
      </c>
      <c r="R6" s="2"/>
    </row>
    <row r="7" spans="1:18" x14ac:dyDescent="0.25">
      <c r="A7" s="4"/>
      <c r="B7" s="13">
        <v>2</v>
      </c>
      <c r="C7" s="14" t="e">
        <f>données!C33</f>
        <v>#DIV/0!</v>
      </c>
      <c r="D7" s="14" t="e">
        <f t="shared" ref="D7:D15" si="0">C7*$D$3</f>
        <v>#DIV/0!</v>
      </c>
      <c r="E7" s="14" t="e">
        <f>données!I27</f>
        <v>#DIV/0!</v>
      </c>
      <c r="F7" s="14" t="e">
        <f t="shared" ref="F7:F15" si="1">D7*E7</f>
        <v>#DIV/0!</v>
      </c>
      <c r="G7" s="15" t="e">
        <f t="shared" ref="G7:G15" si="2">$G$16-E7</f>
        <v>#DIV/0!</v>
      </c>
      <c r="H7" s="15"/>
      <c r="I7" s="6" t="e">
        <f>D3*données!P$3^3*((données!I$17+SIN(données!I$17)*COS(données!I$17))/2-SIN(données!I$17)^2/données!I$17)+D7*G7^2</f>
        <v>#DIV/0!</v>
      </c>
      <c r="J7" s="8"/>
      <c r="K7" s="8"/>
      <c r="L7" s="8"/>
    </row>
    <row r="8" spans="1:18" x14ac:dyDescent="0.25">
      <c r="A8" s="4"/>
      <c r="B8" s="13">
        <v>3</v>
      </c>
      <c r="C8" s="14" t="e">
        <f>données!C32</f>
        <v>#DIV/0!</v>
      </c>
      <c r="D8" s="14" t="e">
        <f t="shared" si="0"/>
        <v>#DIV/0!</v>
      </c>
      <c r="E8" s="45">
        <f>données!N3/2</f>
        <v>0</v>
      </c>
      <c r="F8" s="14" t="e">
        <f t="shared" si="1"/>
        <v>#DIV/0!</v>
      </c>
      <c r="G8" s="15" t="e">
        <f t="shared" si="2"/>
        <v>#DIV/0!</v>
      </c>
      <c r="H8" s="15" t="e">
        <f>données!M32</f>
        <v>#DIV/0!</v>
      </c>
      <c r="I8" s="7" t="e">
        <f>D8*H8^2/12+D8*G8^2</f>
        <v>#DIV/0!</v>
      </c>
      <c r="J8" s="8"/>
      <c r="K8" s="8"/>
      <c r="L8" s="8"/>
    </row>
    <row r="9" spans="1:18" x14ac:dyDescent="0.25">
      <c r="A9" s="4"/>
      <c r="B9" s="13">
        <v>4</v>
      </c>
      <c r="C9" s="14" t="e">
        <f>données!C31</f>
        <v>#DIV/0!</v>
      </c>
      <c r="D9" s="14" t="e">
        <f t="shared" si="0"/>
        <v>#DIV/0!</v>
      </c>
      <c r="E9" s="16" t="e">
        <f>données!N3-données!I27</f>
        <v>#DIV/0!</v>
      </c>
      <c r="F9" s="14" t="e">
        <f t="shared" si="1"/>
        <v>#DIV/0!</v>
      </c>
      <c r="G9" s="15" t="e">
        <f t="shared" si="2"/>
        <v>#DIV/0!</v>
      </c>
      <c r="H9" s="15"/>
      <c r="I9" s="6" t="e">
        <f>D3*données!P$3^3*((données!L$17+SIN(données!L$17)*COS(données!L$17))/2-SIN(données!L$17)^2/données!L$17)+D9*G9^2</f>
        <v>#DIV/0!</v>
      </c>
      <c r="J9" s="8"/>
      <c r="K9" s="8"/>
      <c r="L9" s="8"/>
    </row>
    <row r="10" spans="1:18" x14ac:dyDescent="0.25">
      <c r="A10" s="4"/>
      <c r="B10" s="13">
        <v>5</v>
      </c>
      <c r="C10" s="14" t="e">
        <f>données!C30</f>
        <v>#DIV/0!</v>
      </c>
      <c r="D10" s="14" t="e">
        <f t="shared" si="0"/>
        <v>#DIV/0!</v>
      </c>
      <c r="E10" s="45">
        <f>données!N3</f>
        <v>0</v>
      </c>
      <c r="F10" s="14" t="e">
        <f t="shared" si="1"/>
        <v>#DIV/0!</v>
      </c>
      <c r="G10" s="15" t="e">
        <f t="shared" si="2"/>
        <v>#DIV/0!</v>
      </c>
      <c r="H10" s="15">
        <f>D3</f>
        <v>0</v>
      </c>
      <c r="I10" s="7" t="e">
        <f>D10*H10^2/12+D10*G10^2</f>
        <v>#DIV/0!</v>
      </c>
      <c r="J10" s="8"/>
      <c r="K10" s="8" t="s">
        <v>16</v>
      </c>
      <c r="L10" s="8" t="e">
        <f>F16/#REF!</f>
        <v>#DIV/0!</v>
      </c>
    </row>
    <row r="11" spans="1:18" x14ac:dyDescent="0.25">
      <c r="A11" s="4"/>
      <c r="B11" s="13">
        <v>6</v>
      </c>
      <c r="C11" s="14" t="e">
        <f>C10</f>
        <v>#DIV/0!</v>
      </c>
      <c r="D11" s="14" t="e">
        <f t="shared" si="0"/>
        <v>#DIV/0!</v>
      </c>
      <c r="E11" s="16">
        <f>E10</f>
        <v>0</v>
      </c>
      <c r="F11" s="14" t="e">
        <f t="shared" si="1"/>
        <v>#DIV/0!</v>
      </c>
      <c r="G11" s="15" t="e">
        <f t="shared" si="2"/>
        <v>#DIV/0!</v>
      </c>
      <c r="H11" s="15">
        <f>H10</f>
        <v>0</v>
      </c>
      <c r="I11" s="63" t="e">
        <f>I10</f>
        <v>#DIV/0!</v>
      </c>
      <c r="J11" s="8"/>
    </row>
    <row r="12" spans="1:18" x14ac:dyDescent="0.25">
      <c r="A12" s="4"/>
      <c r="B12" s="13">
        <v>7</v>
      </c>
      <c r="C12" s="14" t="e">
        <f>C9</f>
        <v>#DIV/0!</v>
      </c>
      <c r="D12" s="14" t="e">
        <f t="shared" si="0"/>
        <v>#DIV/0!</v>
      </c>
      <c r="E12" s="14" t="e">
        <f>E9</f>
        <v>#DIV/0!</v>
      </c>
      <c r="F12" s="14" t="e">
        <f t="shared" si="1"/>
        <v>#DIV/0!</v>
      </c>
      <c r="G12" s="15" t="e">
        <f t="shared" si="2"/>
        <v>#DIV/0!</v>
      </c>
      <c r="H12" s="14">
        <f>H9</f>
        <v>0</v>
      </c>
      <c r="I12" s="110" t="e">
        <f>I9</f>
        <v>#DIV/0!</v>
      </c>
      <c r="J12" s="8"/>
    </row>
    <row r="13" spans="1:18" x14ac:dyDescent="0.25">
      <c r="A13" s="4"/>
      <c r="B13" s="13">
        <v>8</v>
      </c>
      <c r="C13" s="14" t="e">
        <f>C8</f>
        <v>#DIV/0!</v>
      </c>
      <c r="D13" s="14" t="e">
        <f t="shared" si="0"/>
        <v>#DIV/0!</v>
      </c>
      <c r="E13" s="14">
        <f>E8</f>
        <v>0</v>
      </c>
      <c r="F13" s="14" t="e">
        <f t="shared" si="1"/>
        <v>#DIV/0!</v>
      </c>
      <c r="G13" s="15" t="e">
        <f t="shared" si="2"/>
        <v>#DIV/0!</v>
      </c>
      <c r="H13" s="14" t="e">
        <f>H8</f>
        <v>#DIV/0!</v>
      </c>
      <c r="I13" s="111" t="e">
        <f>I8</f>
        <v>#DIV/0!</v>
      </c>
      <c r="J13" s="8"/>
    </row>
    <row r="14" spans="1:18" x14ac:dyDescent="0.25">
      <c r="A14" s="4"/>
      <c r="B14" s="13">
        <v>9</v>
      </c>
      <c r="C14" s="14" t="e">
        <f>C7</f>
        <v>#DIV/0!</v>
      </c>
      <c r="D14" s="14" t="e">
        <f t="shared" si="0"/>
        <v>#DIV/0!</v>
      </c>
      <c r="E14" s="14" t="e">
        <f>E7</f>
        <v>#DIV/0!</v>
      </c>
      <c r="F14" s="14" t="e">
        <f t="shared" si="1"/>
        <v>#DIV/0!</v>
      </c>
      <c r="G14" s="15" t="e">
        <f t="shared" si="2"/>
        <v>#DIV/0!</v>
      </c>
      <c r="H14" s="14">
        <f>H7</f>
        <v>0</v>
      </c>
      <c r="I14" s="112" t="e">
        <f>I7</f>
        <v>#DIV/0!</v>
      </c>
      <c r="J14" s="8"/>
    </row>
    <row r="15" spans="1:18" x14ac:dyDescent="0.25">
      <c r="B15" s="13" t="s">
        <v>82</v>
      </c>
      <c r="C15" s="14" t="e">
        <f>15*D3-données!I19</f>
        <v>#DIV/0!</v>
      </c>
      <c r="D15" s="14" t="e">
        <f t="shared" si="0"/>
        <v>#DIV/0!</v>
      </c>
      <c r="E15" s="14">
        <v>0</v>
      </c>
      <c r="F15" s="14" t="e">
        <f t="shared" si="1"/>
        <v>#DIV/0!</v>
      </c>
      <c r="G15" s="15" t="e">
        <f t="shared" si="2"/>
        <v>#DIV/0!</v>
      </c>
      <c r="H15" s="15">
        <f>données!M34</f>
        <v>0</v>
      </c>
      <c r="I15" s="7" t="e">
        <f>D15*H15^2/12+D15*G15^2</f>
        <v>#DIV/0!</v>
      </c>
      <c r="J15" s="8"/>
    </row>
    <row r="16" spans="1:18" x14ac:dyDescent="0.25">
      <c r="B16" s="25" t="s">
        <v>6</v>
      </c>
      <c r="C16" s="16"/>
      <c r="D16" s="26" t="e">
        <f>SUM(D6:D15)</f>
        <v>#DIV/0!</v>
      </c>
      <c r="E16" s="17"/>
      <c r="F16" s="14" t="e">
        <f>SUM(F6:F15)</f>
        <v>#DIV/0!</v>
      </c>
      <c r="G16" s="17" t="e">
        <f>F16/D16</f>
        <v>#DIV/0!</v>
      </c>
      <c r="H16" s="17"/>
      <c r="I16" s="7" t="e">
        <f>SUM(I6:I15)</f>
        <v>#DIV/0!</v>
      </c>
      <c r="J16" s="8"/>
    </row>
    <row r="17" spans="1:18" x14ac:dyDescent="0.25">
      <c r="B17" s="18"/>
      <c r="C17" s="17"/>
      <c r="D17" s="17"/>
      <c r="E17" s="17"/>
      <c r="F17" s="17"/>
      <c r="G17" s="17"/>
      <c r="H17" s="17"/>
      <c r="I17" s="121"/>
      <c r="J17" s="8"/>
    </row>
    <row r="18" spans="1:18" ht="16.5" x14ac:dyDescent="0.3">
      <c r="B18" s="13" t="s">
        <v>5</v>
      </c>
      <c r="C18" s="13" t="s">
        <v>44</v>
      </c>
      <c r="D18" s="13" t="s">
        <v>47</v>
      </c>
      <c r="E18" s="13"/>
      <c r="F18" s="13"/>
      <c r="G18" s="13"/>
      <c r="H18" s="13"/>
      <c r="I18" s="13"/>
      <c r="J18" s="8"/>
      <c r="K18" s="13" t="s">
        <v>35</v>
      </c>
      <c r="L18" s="13" t="s">
        <v>36</v>
      </c>
      <c r="M18" s="13" t="s">
        <v>37</v>
      </c>
      <c r="N18" s="13" t="s">
        <v>38</v>
      </c>
      <c r="O18" s="13" t="s">
        <v>39</v>
      </c>
      <c r="P18" s="13" t="s">
        <v>40</v>
      </c>
      <c r="Q18" s="13" t="s">
        <v>41</v>
      </c>
      <c r="R18" s="13"/>
    </row>
    <row r="19" spans="1:18" ht="18.75" x14ac:dyDescent="0.3">
      <c r="A19" s="4"/>
      <c r="B19" s="13" t="s">
        <v>81</v>
      </c>
      <c r="C19" s="14" t="e">
        <f>'largeur_eff_semelle (3)'!O5-données!I19</f>
        <v>#DIV/0!</v>
      </c>
      <c r="D19" s="14" t="e">
        <f>C19*$D$3</f>
        <v>#DIV/0!</v>
      </c>
      <c r="E19" s="14"/>
      <c r="F19" s="14"/>
      <c r="G19" s="15"/>
      <c r="H19" s="15"/>
      <c r="I19" s="12"/>
      <c r="J19" s="8"/>
      <c r="K19" s="2" t="s">
        <v>42</v>
      </c>
      <c r="L19" s="2"/>
      <c r="M19" s="2" t="s">
        <v>43</v>
      </c>
      <c r="N19" s="2"/>
      <c r="O19" s="2" t="s">
        <v>101</v>
      </c>
      <c r="P19" s="2"/>
      <c r="Q19" s="2" t="s">
        <v>102</v>
      </c>
      <c r="R19" s="2"/>
    </row>
    <row r="20" spans="1:18" x14ac:dyDescent="0.25">
      <c r="A20" s="4"/>
      <c r="B20" s="13">
        <v>2</v>
      </c>
      <c r="C20" s="14" t="e">
        <f>C7</f>
        <v>#DIV/0!</v>
      </c>
      <c r="D20" s="14" t="e">
        <f t="shared" ref="D20:D28" si="3">C20*$D$3</f>
        <v>#DIV/0!</v>
      </c>
      <c r="E20" s="14"/>
      <c r="F20" s="14"/>
      <c r="G20" s="15"/>
      <c r="H20" s="15"/>
      <c r="I20" s="6"/>
      <c r="J20" s="8"/>
      <c r="K20" s="8"/>
      <c r="L20" s="8"/>
    </row>
    <row r="21" spans="1:18" x14ac:dyDescent="0.25">
      <c r="A21" s="4"/>
      <c r="B21" s="13">
        <v>3</v>
      </c>
      <c r="C21" s="14" t="e">
        <f t="shared" ref="C21:C27" si="4">C8</f>
        <v>#DIV/0!</v>
      </c>
      <c r="D21" s="14" t="e">
        <f t="shared" si="3"/>
        <v>#DIV/0!</v>
      </c>
      <c r="E21" s="45"/>
      <c r="F21" s="14"/>
      <c r="G21" s="15"/>
      <c r="H21" s="15"/>
      <c r="I21" s="7"/>
      <c r="J21" s="8"/>
      <c r="K21" s="8"/>
      <c r="L21" s="8"/>
    </row>
    <row r="22" spans="1:18" x14ac:dyDescent="0.25">
      <c r="A22" s="4"/>
      <c r="B22" s="13">
        <v>4</v>
      </c>
      <c r="C22" s="14" t="e">
        <f t="shared" si="4"/>
        <v>#DIV/0!</v>
      </c>
      <c r="D22" s="14" t="e">
        <f t="shared" si="3"/>
        <v>#DIV/0!</v>
      </c>
      <c r="E22" s="16"/>
      <c r="F22" s="14"/>
      <c r="G22" s="15"/>
      <c r="H22" s="15"/>
      <c r="I22" s="6"/>
      <c r="J22" s="8"/>
      <c r="K22" s="8"/>
      <c r="L22" s="8"/>
    </row>
    <row r="23" spans="1:18" x14ac:dyDescent="0.25">
      <c r="A23" s="4"/>
      <c r="B23" s="13">
        <v>5</v>
      </c>
      <c r="C23" s="14" t="e">
        <f t="shared" si="4"/>
        <v>#DIV/0!</v>
      </c>
      <c r="D23" s="14" t="e">
        <f t="shared" si="3"/>
        <v>#DIV/0!</v>
      </c>
      <c r="E23" s="45"/>
      <c r="F23" s="14"/>
      <c r="G23" s="15"/>
      <c r="H23" s="15"/>
      <c r="I23" s="7"/>
      <c r="J23" s="8"/>
      <c r="K23" s="8" t="s">
        <v>16</v>
      </c>
      <c r="L23" s="8" t="e">
        <f>F29/#REF!</f>
        <v>#REF!</v>
      </c>
    </row>
    <row r="24" spans="1:18" x14ac:dyDescent="0.25">
      <c r="A24" s="4"/>
      <c r="B24" s="13">
        <v>6</v>
      </c>
      <c r="C24" s="14" t="e">
        <f t="shared" si="4"/>
        <v>#DIV/0!</v>
      </c>
      <c r="D24" s="14" t="e">
        <f t="shared" si="3"/>
        <v>#DIV/0!</v>
      </c>
      <c r="E24" s="16"/>
      <c r="F24" s="14"/>
      <c r="G24" s="15"/>
      <c r="H24" s="15"/>
      <c r="I24" s="63"/>
      <c r="J24" s="8"/>
    </row>
    <row r="25" spans="1:18" x14ac:dyDescent="0.25">
      <c r="A25" s="4"/>
      <c r="B25" s="13">
        <v>7</v>
      </c>
      <c r="C25" s="14" t="e">
        <f t="shared" si="4"/>
        <v>#DIV/0!</v>
      </c>
      <c r="D25" s="14" t="e">
        <f t="shared" si="3"/>
        <v>#DIV/0!</v>
      </c>
      <c r="E25" s="14"/>
      <c r="F25" s="14"/>
      <c r="G25" s="15"/>
      <c r="H25" s="14"/>
      <c r="I25" s="110"/>
      <c r="J25" s="8"/>
    </row>
    <row r="26" spans="1:18" x14ac:dyDescent="0.25">
      <c r="A26" s="4"/>
      <c r="B26" s="13">
        <v>8</v>
      </c>
      <c r="C26" s="14" t="e">
        <f t="shared" si="4"/>
        <v>#DIV/0!</v>
      </c>
      <c r="D26" s="14" t="e">
        <f t="shared" si="3"/>
        <v>#DIV/0!</v>
      </c>
      <c r="E26" s="14"/>
      <c r="F26" s="14"/>
      <c r="G26" s="15"/>
      <c r="H26" s="14"/>
      <c r="I26" s="111"/>
      <c r="J26" s="8"/>
    </row>
    <row r="27" spans="1:18" x14ac:dyDescent="0.25">
      <c r="A27" s="4"/>
      <c r="B27" s="13">
        <v>9</v>
      </c>
      <c r="C27" s="14" t="e">
        <f t="shared" si="4"/>
        <v>#DIV/0!</v>
      </c>
      <c r="D27" s="14" t="e">
        <f t="shared" si="3"/>
        <v>#DIV/0!</v>
      </c>
      <c r="E27" s="14"/>
      <c r="F27" s="14"/>
      <c r="G27" s="15"/>
      <c r="H27" s="14"/>
      <c r="I27" s="112"/>
      <c r="J27" s="8"/>
    </row>
    <row r="28" spans="1:18" x14ac:dyDescent="0.25">
      <c r="B28" s="13" t="s">
        <v>82</v>
      </c>
      <c r="C28" s="14" t="e">
        <f>'largeur_eff_semelle (3)'!O5-données!I19</f>
        <v>#DIV/0!</v>
      </c>
      <c r="D28" s="14" t="e">
        <f t="shared" si="3"/>
        <v>#DIV/0!</v>
      </c>
      <c r="E28" s="14"/>
      <c r="F28" s="14"/>
      <c r="G28" s="15"/>
      <c r="H28" s="15"/>
      <c r="I28" s="66"/>
      <c r="J28" s="8"/>
    </row>
    <row r="29" spans="1:18" x14ac:dyDescent="0.25">
      <c r="B29" s="25" t="s">
        <v>6</v>
      </c>
      <c r="C29" s="16"/>
      <c r="D29" s="26" t="e">
        <f>SUM(D19:D28)</f>
        <v>#DIV/0!</v>
      </c>
      <c r="E29" s="17"/>
      <c r="F29" s="14"/>
      <c r="G29" s="17"/>
      <c r="H29" s="17"/>
      <c r="I29" s="7"/>
      <c r="J29" s="8"/>
    </row>
    <row r="30" spans="1:18" x14ac:dyDescent="0.25">
      <c r="B30" s="18"/>
      <c r="C30" s="17"/>
      <c r="D30" s="17"/>
      <c r="E30" s="17"/>
      <c r="F30" s="17"/>
      <c r="G30" s="17"/>
      <c r="H30" s="17"/>
      <c r="I30" s="121"/>
      <c r="J30" s="8"/>
    </row>
    <row r="31" spans="1:18" x14ac:dyDescent="0.25">
      <c r="B31" s="18"/>
      <c r="C31" s="18"/>
      <c r="D31" s="18"/>
      <c r="E31" s="18"/>
      <c r="F31" s="18"/>
      <c r="G31" s="18"/>
      <c r="H31" s="19"/>
      <c r="I31" s="19"/>
      <c r="J31" s="19"/>
      <c r="K31" s="8"/>
      <c r="L31" s="8"/>
    </row>
    <row r="32" spans="1:18" ht="16.5" x14ac:dyDescent="0.3">
      <c r="B32" s="2" t="s">
        <v>111</v>
      </c>
      <c r="C32" s="2"/>
      <c r="D32" s="2" t="s">
        <v>25</v>
      </c>
      <c r="E32" s="2" t="s">
        <v>26</v>
      </c>
      <c r="F32" s="2" t="s">
        <v>27</v>
      </c>
      <c r="G32" s="2" t="s">
        <v>28</v>
      </c>
      <c r="H32" s="2" t="s">
        <v>107</v>
      </c>
      <c r="I32" s="2" t="s">
        <v>29</v>
      </c>
      <c r="J32" s="8"/>
      <c r="K32" s="8"/>
      <c r="L32" s="8"/>
    </row>
    <row r="33" spans="2:12" x14ac:dyDescent="0.25">
      <c r="B33" s="7" t="e">
        <f>2*C3+B3</f>
        <v>#DIV/0!</v>
      </c>
      <c r="C33" s="7"/>
      <c r="D33" s="7">
        <f>données!D15</f>
        <v>0</v>
      </c>
      <c r="E33" s="7" t="e">
        <f>données!M3</f>
        <v>#DIV/0!</v>
      </c>
      <c r="F33" s="7" t="e">
        <f>3.07*(I16*C3^2*(2*C3+3*B3)/D3^3)^0.25</f>
        <v>#DIV/0!</v>
      </c>
      <c r="G33" s="7" t="e">
        <f>F33/E33</f>
        <v>#DIV/0!</v>
      </c>
      <c r="H33" s="7" t="e">
        <f>((E33+2*B33)/(E33+0.5*B33))^0.5</f>
        <v>#DIV/0!</v>
      </c>
      <c r="I33" s="67" t="e">
        <f>IF(G33&gt;2,H33,(H33-(H33-1)*(2*F33/E33-(F33/E33)^2)))</f>
        <v>#DIV/0!</v>
      </c>
      <c r="J33" s="8"/>
      <c r="K33" s="8"/>
      <c r="L33" s="8"/>
    </row>
    <row r="34" spans="2:12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2:12" ht="16.5" x14ac:dyDescent="0.3">
      <c r="B35" s="2" t="s">
        <v>50</v>
      </c>
      <c r="C35" s="8"/>
      <c r="D35" s="8"/>
      <c r="E35" s="8"/>
      <c r="F35" s="8"/>
      <c r="G35" s="8"/>
      <c r="H35" s="8"/>
      <c r="I35" s="8"/>
      <c r="J35" s="8"/>
      <c r="K35" s="8"/>
    </row>
    <row r="36" spans="2:12" x14ac:dyDescent="0.25">
      <c r="B36" s="7" t="e">
        <f>4.2*I33*E3/D29*(I16*D3^3/4/C3^2/(2*C3+3*B3))^0.5</f>
        <v>#DIV/0!</v>
      </c>
      <c r="C36" s="8"/>
      <c r="D36" s="8"/>
      <c r="E36" s="8"/>
      <c r="F36" s="8"/>
      <c r="G36" s="8"/>
      <c r="H36" s="8"/>
      <c r="I36" s="8"/>
      <c r="J36" s="8"/>
      <c r="K36" s="8"/>
    </row>
    <row r="38" spans="2:12" ht="16.5" x14ac:dyDescent="0.3">
      <c r="B38" s="2" t="s">
        <v>20</v>
      </c>
      <c r="C38" s="2" t="s">
        <v>10</v>
      </c>
      <c r="D38" s="2" t="s">
        <v>108</v>
      </c>
      <c r="E38" s="2" t="s">
        <v>109</v>
      </c>
    </row>
    <row r="39" spans="2:12" x14ac:dyDescent="0.25">
      <c r="B39" s="6">
        <f>données!G3</f>
        <v>0</v>
      </c>
      <c r="C39" s="11" t="e">
        <f>(B39/B36)^0.5</f>
        <v>#DIV/0!</v>
      </c>
      <c r="D39" t="e">
        <f>IF(C39&lt;0.65,1,(1.47-0.723*C39))</f>
        <v>#DIV/0!</v>
      </c>
      <c r="E39" t="e">
        <f>IF(C39&gt;1.38,0.66/C39,D39)</f>
        <v>#DIV/0!</v>
      </c>
    </row>
    <row r="41" spans="2:12" ht="16.5" x14ac:dyDescent="0.3">
      <c r="B41" s="7" t="s">
        <v>11</v>
      </c>
      <c r="C41" s="13" t="s">
        <v>56</v>
      </c>
      <c r="E41" s="2" t="s">
        <v>142</v>
      </c>
    </row>
    <row r="42" spans="2:12" x14ac:dyDescent="0.25">
      <c r="B42" s="68" t="e">
        <f>E39</f>
        <v>#DIV/0!</v>
      </c>
      <c r="C42" s="14" t="e">
        <f>B42*données!E3</f>
        <v>#DIV/0!</v>
      </c>
      <c r="E42" t="e">
        <f>B39/'largeur_eff_semelle (3)'!K5/'largeur_eff_semelle (3)'!J5</f>
        <v>#DIV/0!</v>
      </c>
      <c r="G42" s="74" t="e">
        <f>B42*E42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windowProtection="1" workbookViewId="0">
      <selection activeCell="J5" sqref="J5"/>
    </sheetView>
  </sheetViews>
  <sheetFormatPr baseColWidth="10" defaultRowHeight="15" x14ac:dyDescent="0.25"/>
  <cols>
    <col min="2" max="2" width="5.42578125" bestFit="1" customWidth="1"/>
    <col min="3" max="3" width="4.42578125" bestFit="1" customWidth="1"/>
    <col min="4" max="4" width="11.28515625" bestFit="1" customWidth="1"/>
    <col min="5" max="5" width="10.28515625" bestFit="1" customWidth="1"/>
    <col min="6" max="6" width="4.42578125" bestFit="1" customWidth="1"/>
    <col min="7" max="7" width="6.85546875" customWidth="1"/>
    <col min="8" max="8" width="4.42578125" customWidth="1"/>
    <col min="9" max="9" width="5.42578125" bestFit="1" customWidth="1"/>
    <col min="10" max="10" width="7.140625" customWidth="1"/>
    <col min="11" max="11" width="5.42578125" customWidth="1"/>
    <col min="12" max="12" width="7.7109375" customWidth="1"/>
    <col min="13" max="13" width="5.42578125" bestFit="1" customWidth="1"/>
    <col min="14" max="14" width="7.85546875" bestFit="1" customWidth="1"/>
    <col min="15" max="15" width="8.42578125" bestFit="1" customWidth="1"/>
  </cols>
  <sheetData>
    <row r="2" spans="2:15" x14ac:dyDescent="0.25">
      <c r="B2" s="8" t="s">
        <v>138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6.5" x14ac:dyDescent="0.3">
      <c r="B4" s="2" t="s">
        <v>21</v>
      </c>
      <c r="C4" s="2" t="s">
        <v>0</v>
      </c>
      <c r="D4" s="2" t="s">
        <v>20</v>
      </c>
      <c r="E4" s="2" t="s">
        <v>2</v>
      </c>
      <c r="F4" s="2" t="s">
        <v>1</v>
      </c>
      <c r="G4" s="42" t="s">
        <v>80</v>
      </c>
      <c r="H4" s="39" t="s">
        <v>76</v>
      </c>
      <c r="I4" s="2" t="s">
        <v>22</v>
      </c>
      <c r="J4" s="40" t="s">
        <v>78</v>
      </c>
      <c r="K4" s="41" t="s">
        <v>79</v>
      </c>
      <c r="L4" s="2" t="s">
        <v>77</v>
      </c>
      <c r="M4" s="2" t="s">
        <v>3</v>
      </c>
      <c r="N4" s="10" t="s">
        <v>23</v>
      </c>
      <c r="O4" s="10" t="s">
        <v>139</v>
      </c>
    </row>
    <row r="5" spans="2:15" x14ac:dyDescent="0.25">
      <c r="B5" s="7" t="e">
        <f>données!$C$8-données!$C$20-données!$I$18</f>
        <v>#DIV/0!</v>
      </c>
      <c r="C5" s="7">
        <f>données!$E$3</f>
        <v>0</v>
      </c>
      <c r="D5" s="37">
        <f>données!$G$3</f>
        <v>0</v>
      </c>
      <c r="E5" s="7">
        <f>données!H$3</f>
        <v>0</v>
      </c>
      <c r="F5" s="7">
        <v>4</v>
      </c>
      <c r="G5" s="7">
        <v>1</v>
      </c>
      <c r="H5" s="7" t="e">
        <f>(235/D5)^0.5</f>
        <v>#DIV/0!</v>
      </c>
      <c r="I5" s="11" t="e">
        <f>B5/C5/28.4/H5/(F5)^0.5</f>
        <v>#DIV/0!</v>
      </c>
      <c r="J5" s="11" t="e">
        <f>'raidisseur (3)'!B42*MIN(D5,D5*(données!L$3-'résistance_section (2)'!H32)/'résistance_section (2)'!H32)</f>
        <v>#DIV/0!</v>
      </c>
      <c r="K5" s="11">
        <v>1</v>
      </c>
      <c r="L5" s="11" t="e">
        <f>I5*SQRT(J5/D5/K5)</f>
        <v>#DIV/0!</v>
      </c>
      <c r="M5" s="11" t="e">
        <f>IF(L5&gt;0.673,(L5-0.055*(3+G5))/L5^2+0.18*(I5-L5)/(I5-0.6),1)</f>
        <v>#DIV/0!</v>
      </c>
      <c r="N5" s="7" t="e">
        <f>M5*B5</f>
        <v>#DIV/0!</v>
      </c>
      <c r="O5" s="65" t="e">
        <f>N5/2</f>
        <v>#DIV/0!</v>
      </c>
    </row>
    <row r="6" spans="2:15" x14ac:dyDescent="0.25">
      <c r="B6" s="8"/>
      <c r="C6" s="8"/>
      <c r="D6" s="3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5" x14ac:dyDescent="0.25">
      <c r="B7" s="8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2:15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2:15" ht="16.5" x14ac:dyDescent="0.3">
      <c r="B9" s="2" t="s">
        <v>21</v>
      </c>
      <c r="C9" s="2" t="s">
        <v>0</v>
      </c>
      <c r="D9" s="2" t="s">
        <v>20</v>
      </c>
      <c r="E9" s="2" t="s">
        <v>2</v>
      </c>
      <c r="F9" s="2" t="s">
        <v>1</v>
      </c>
      <c r="G9" s="42" t="s">
        <v>80</v>
      </c>
      <c r="H9" s="39" t="s">
        <v>76</v>
      </c>
      <c r="I9" s="2" t="s">
        <v>22</v>
      </c>
      <c r="J9" s="40" t="s">
        <v>78</v>
      </c>
      <c r="K9" s="41" t="s">
        <v>79</v>
      </c>
      <c r="L9" s="2" t="s">
        <v>77</v>
      </c>
      <c r="M9" s="2" t="s">
        <v>3</v>
      </c>
      <c r="N9" s="10" t="s">
        <v>23</v>
      </c>
      <c r="O9" s="10" t="s">
        <v>140</v>
      </c>
    </row>
    <row r="10" spans="2:15" x14ac:dyDescent="0.25">
      <c r="B10" s="7" t="e">
        <f>données!$C$8-données!$C$20-données!$I$18</f>
        <v>#DIV/0!</v>
      </c>
      <c r="C10" s="7">
        <f>données!$E$3</f>
        <v>0</v>
      </c>
      <c r="D10" s="37">
        <f>données!$G$3</f>
        <v>0</v>
      </c>
      <c r="E10" s="7">
        <f>données!H$3</f>
        <v>0</v>
      </c>
      <c r="F10" s="7">
        <v>4</v>
      </c>
      <c r="G10" s="7">
        <v>1</v>
      </c>
      <c r="H10" s="7" t="e">
        <f>(235/D10)^0.5</f>
        <v>#DIV/0!</v>
      </c>
      <c r="I10" s="11" t="e">
        <f>B10/C10/28.4/H10/(F10)^0.5</f>
        <v>#DIV/0!</v>
      </c>
      <c r="J10" s="11" t="e">
        <f>MIN(D10,D10*(données!L$3-'résistance_section (2)'!H32)/'résistance_section (2)'!H32)</f>
        <v>#DIV/0!</v>
      </c>
      <c r="K10" s="11">
        <v>1</v>
      </c>
      <c r="L10" s="11" t="e">
        <f>I10*SQRT(J10/D10/K10)</f>
        <v>#DIV/0!</v>
      </c>
      <c r="M10" s="11" t="e">
        <f>IF(L10&gt;0.673,(L10-0.055*(3+G10))/L10^2+0.18*(I10-L10)/(I10-0.6),1)</f>
        <v>#DIV/0!</v>
      </c>
      <c r="N10" s="7" t="e">
        <f>M10*B10</f>
        <v>#DIV/0!</v>
      </c>
      <c r="O10" s="65" t="e">
        <f>MAX(N10/2,données!C21)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windowProtection="1" topLeftCell="A9" workbookViewId="0">
      <selection activeCell="E43" sqref="E43"/>
    </sheetView>
  </sheetViews>
  <sheetFormatPr baseColWidth="10" defaultRowHeight="15" x14ac:dyDescent="0.25"/>
  <cols>
    <col min="2" max="2" width="11.42578125" bestFit="1" customWidth="1"/>
    <col min="3" max="3" width="7.7109375" bestFit="1" customWidth="1"/>
    <col min="4" max="4" width="8.28515625" bestFit="1" customWidth="1"/>
    <col min="5" max="5" width="11.140625" customWidth="1"/>
    <col min="6" max="6" width="8.42578125" customWidth="1"/>
    <col min="7" max="7" width="10.28515625" bestFit="1" customWidth="1"/>
    <col min="8" max="8" width="7.42578125" bestFit="1" customWidth="1"/>
    <col min="11" max="11" width="14.85546875" bestFit="1" customWidth="1"/>
    <col min="12" max="12" width="17" customWidth="1"/>
    <col min="13" max="13" width="17" bestFit="1" customWidth="1"/>
    <col min="14" max="15" width="14.85546875" bestFit="1" customWidth="1"/>
    <col min="16" max="16" width="16.140625" bestFit="1" customWidth="1"/>
    <col min="17" max="17" width="17" bestFit="1" customWidth="1"/>
    <col min="18" max="18" width="14.85546875" bestFit="1" customWidth="1"/>
  </cols>
  <sheetData>
    <row r="2" spans="1:18" ht="16.5" x14ac:dyDescent="0.3">
      <c r="B2" s="2" t="s">
        <v>24</v>
      </c>
      <c r="C2" s="2" t="s">
        <v>21</v>
      </c>
      <c r="D2" s="2" t="s">
        <v>0</v>
      </c>
      <c r="E2" s="2" t="s">
        <v>2</v>
      </c>
      <c r="F2" s="10" t="s">
        <v>8</v>
      </c>
      <c r="G2" s="8"/>
      <c r="H2" s="8"/>
      <c r="I2" s="8"/>
      <c r="J2" s="8"/>
    </row>
    <row r="3" spans="1:18" x14ac:dyDescent="0.25">
      <c r="B3" s="7" t="e">
        <f>(données!C30+données!C31+données!C32+données!C33/2)*2</f>
        <v>#DIV/0!</v>
      </c>
      <c r="C3" s="7" t="e">
        <f>largeur_eff_semelle!B5</f>
        <v>#DIV/0!</v>
      </c>
      <c r="D3" s="2">
        <f>données!E3</f>
        <v>0</v>
      </c>
      <c r="E3" s="7">
        <f>données!H3</f>
        <v>0</v>
      </c>
      <c r="F3" s="12">
        <f>données!D6</f>
        <v>0</v>
      </c>
      <c r="G3" s="8"/>
      <c r="H3" s="8"/>
      <c r="I3" s="8"/>
      <c r="J3" s="8"/>
    </row>
    <row r="4" spans="1:18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8.75" x14ac:dyDescent="0.3">
      <c r="B5" s="13" t="s">
        <v>5</v>
      </c>
      <c r="C5" s="13" t="s">
        <v>44</v>
      </c>
      <c r="D5" s="13" t="s">
        <v>47</v>
      </c>
      <c r="E5" s="13" t="s">
        <v>45</v>
      </c>
      <c r="F5" s="13" t="s">
        <v>48</v>
      </c>
      <c r="G5" s="13" t="s">
        <v>46</v>
      </c>
      <c r="H5" s="13" t="s">
        <v>8</v>
      </c>
      <c r="I5" s="13" t="s">
        <v>49</v>
      </c>
      <c r="J5" s="8"/>
      <c r="K5" s="13" t="s">
        <v>35</v>
      </c>
      <c r="L5" s="13" t="s">
        <v>36</v>
      </c>
      <c r="M5" s="13" t="s">
        <v>37</v>
      </c>
      <c r="N5" s="13" t="s">
        <v>38</v>
      </c>
      <c r="O5" s="13" t="s">
        <v>39</v>
      </c>
      <c r="P5" s="13" t="s">
        <v>40</v>
      </c>
      <c r="Q5" s="13" t="s">
        <v>41</v>
      </c>
      <c r="R5" s="13"/>
    </row>
    <row r="6" spans="1:18" ht="18.75" x14ac:dyDescent="0.3">
      <c r="A6" s="4"/>
      <c r="B6" s="13" t="s">
        <v>81</v>
      </c>
      <c r="C6" s="14" t="e">
        <f>15*D3-données!I19</f>
        <v>#DIV/0!</v>
      </c>
      <c r="D6" s="14" t="e">
        <f>C6*$D$3</f>
        <v>#DIV/0!</v>
      </c>
      <c r="E6" s="14">
        <v>0</v>
      </c>
      <c r="F6" s="14" t="e">
        <f>D6*E6</f>
        <v>#DIV/0!</v>
      </c>
      <c r="G6" s="15" t="e">
        <f>$G$16-E6</f>
        <v>#DIV/0!</v>
      </c>
      <c r="H6" s="15">
        <f>D3</f>
        <v>0</v>
      </c>
      <c r="I6" s="7" t="e">
        <f>D6*H6^2/12+D6*G6^2</f>
        <v>#DIV/0!</v>
      </c>
      <c r="J6" s="8"/>
      <c r="K6" s="2" t="s">
        <v>42</v>
      </c>
      <c r="L6" s="2"/>
      <c r="M6" s="2" t="s">
        <v>43</v>
      </c>
      <c r="N6" s="2"/>
      <c r="O6" s="2" t="s">
        <v>101</v>
      </c>
      <c r="P6" s="2"/>
      <c r="Q6" s="2" t="s">
        <v>102</v>
      </c>
      <c r="R6" s="2"/>
    </row>
    <row r="7" spans="1:18" x14ac:dyDescent="0.25">
      <c r="A7" s="4"/>
      <c r="B7" s="13">
        <v>2</v>
      </c>
      <c r="C7" s="14" t="e">
        <f>données!C33</f>
        <v>#DIV/0!</v>
      </c>
      <c r="D7" s="14" t="e">
        <f t="shared" ref="D7:D15" si="0">C7*$D$3</f>
        <v>#DIV/0!</v>
      </c>
      <c r="E7" s="14" t="e">
        <f>données!I27</f>
        <v>#DIV/0!</v>
      </c>
      <c r="F7" s="14" t="e">
        <f t="shared" ref="F7:F15" si="1">D7*E7</f>
        <v>#DIV/0!</v>
      </c>
      <c r="G7" s="15" t="e">
        <f t="shared" ref="G7:G15" si="2">$G$16-E7</f>
        <v>#DIV/0!</v>
      </c>
      <c r="H7" s="15"/>
      <c r="I7" s="6" t="e">
        <f>D3*données!P$3^3*((données!I$17+SIN(données!I$17)*COS(données!I$17))/2-SIN(données!I$17)^2/données!I$17)+D7*G7^2</f>
        <v>#DIV/0!</v>
      </c>
      <c r="J7" s="8"/>
      <c r="K7" s="8"/>
      <c r="L7" s="8"/>
    </row>
    <row r="8" spans="1:18" x14ac:dyDescent="0.25">
      <c r="A8" s="4"/>
      <c r="B8" s="13">
        <v>3</v>
      </c>
      <c r="C8" s="14" t="e">
        <f>données!C32</f>
        <v>#DIV/0!</v>
      </c>
      <c r="D8" s="14" t="e">
        <f t="shared" si="0"/>
        <v>#DIV/0!</v>
      </c>
      <c r="E8" s="45">
        <f>données!N3/2</f>
        <v>0</v>
      </c>
      <c r="F8" s="14" t="e">
        <f t="shared" si="1"/>
        <v>#DIV/0!</v>
      </c>
      <c r="G8" s="15" t="e">
        <f t="shared" si="2"/>
        <v>#DIV/0!</v>
      </c>
      <c r="H8" s="15" t="e">
        <f>données!M32</f>
        <v>#DIV/0!</v>
      </c>
      <c r="I8" s="7" t="e">
        <f>D8*H8^2/12+D8*G8^2</f>
        <v>#DIV/0!</v>
      </c>
      <c r="J8" s="8"/>
      <c r="K8" s="8"/>
      <c r="L8" s="8"/>
    </row>
    <row r="9" spans="1:18" x14ac:dyDescent="0.25">
      <c r="A9" s="4"/>
      <c r="B9" s="13">
        <v>4</v>
      </c>
      <c r="C9" s="14" t="e">
        <f>données!C31</f>
        <v>#DIV/0!</v>
      </c>
      <c r="D9" s="14" t="e">
        <f t="shared" si="0"/>
        <v>#DIV/0!</v>
      </c>
      <c r="E9" s="16" t="e">
        <f>données!N3-données!I27</f>
        <v>#DIV/0!</v>
      </c>
      <c r="F9" s="14" t="e">
        <f t="shared" si="1"/>
        <v>#DIV/0!</v>
      </c>
      <c r="G9" s="15" t="e">
        <f t="shared" si="2"/>
        <v>#DIV/0!</v>
      </c>
      <c r="H9" s="15"/>
      <c r="I9" s="6" t="e">
        <f>D3*données!P$3^3*((données!L$17+SIN(données!L$17)*COS(données!L$17))/2-SIN(données!L$17)^2/données!L$17)+D9*G9^2</f>
        <v>#DIV/0!</v>
      </c>
      <c r="J9" s="8"/>
      <c r="K9" s="8"/>
      <c r="L9" s="8"/>
    </row>
    <row r="10" spans="1:18" x14ac:dyDescent="0.25">
      <c r="A10" s="4"/>
      <c r="B10" s="13">
        <v>5</v>
      </c>
      <c r="C10" s="14" t="e">
        <f>données!C30</f>
        <v>#DIV/0!</v>
      </c>
      <c r="D10" s="14" t="e">
        <f t="shared" si="0"/>
        <v>#DIV/0!</v>
      </c>
      <c r="E10" s="45">
        <f>données!N3</f>
        <v>0</v>
      </c>
      <c r="F10" s="14" t="e">
        <f t="shared" si="1"/>
        <v>#DIV/0!</v>
      </c>
      <c r="G10" s="15" t="e">
        <f t="shared" si="2"/>
        <v>#DIV/0!</v>
      </c>
      <c r="H10" s="15">
        <f>D3</f>
        <v>0</v>
      </c>
      <c r="I10" s="7" t="e">
        <f>D10*H10^2/12+D10*G10^2</f>
        <v>#DIV/0!</v>
      </c>
      <c r="J10" s="8"/>
      <c r="K10" s="8" t="s">
        <v>16</v>
      </c>
      <c r="L10" s="8" t="e">
        <f>F16/#REF!</f>
        <v>#DIV/0!</v>
      </c>
    </row>
    <row r="11" spans="1:18" x14ac:dyDescent="0.25">
      <c r="A11" s="4"/>
      <c r="B11" s="13">
        <v>6</v>
      </c>
      <c r="C11" s="14" t="e">
        <f>C10</f>
        <v>#DIV/0!</v>
      </c>
      <c r="D11" s="14" t="e">
        <f t="shared" si="0"/>
        <v>#DIV/0!</v>
      </c>
      <c r="E11" s="16">
        <f>E10</f>
        <v>0</v>
      </c>
      <c r="F11" s="14" t="e">
        <f t="shared" si="1"/>
        <v>#DIV/0!</v>
      </c>
      <c r="G11" s="15" t="e">
        <f t="shared" si="2"/>
        <v>#DIV/0!</v>
      </c>
      <c r="H11" s="15">
        <f>H10</f>
        <v>0</v>
      </c>
      <c r="I11" s="63" t="e">
        <f>I10</f>
        <v>#DIV/0!</v>
      </c>
      <c r="J11" s="8"/>
    </row>
    <row r="12" spans="1:18" x14ac:dyDescent="0.25">
      <c r="A12" s="4"/>
      <c r="B12" s="13">
        <v>7</v>
      </c>
      <c r="C12" s="14" t="e">
        <f>C9</f>
        <v>#DIV/0!</v>
      </c>
      <c r="D12" s="14" t="e">
        <f t="shared" si="0"/>
        <v>#DIV/0!</v>
      </c>
      <c r="E12" s="14" t="e">
        <f>E9</f>
        <v>#DIV/0!</v>
      </c>
      <c r="F12" s="14" t="e">
        <f t="shared" si="1"/>
        <v>#DIV/0!</v>
      </c>
      <c r="G12" s="15" t="e">
        <f t="shared" si="2"/>
        <v>#DIV/0!</v>
      </c>
      <c r="H12" s="14">
        <f>H9</f>
        <v>0</v>
      </c>
      <c r="I12" s="110" t="e">
        <f>I9</f>
        <v>#DIV/0!</v>
      </c>
      <c r="J12" s="8"/>
    </row>
    <row r="13" spans="1:18" x14ac:dyDescent="0.25">
      <c r="A13" s="4"/>
      <c r="B13" s="13">
        <v>8</v>
      </c>
      <c r="C13" s="14" t="e">
        <f>C8</f>
        <v>#DIV/0!</v>
      </c>
      <c r="D13" s="14" t="e">
        <f t="shared" si="0"/>
        <v>#DIV/0!</v>
      </c>
      <c r="E13" s="14">
        <f>E8</f>
        <v>0</v>
      </c>
      <c r="F13" s="14" t="e">
        <f t="shared" si="1"/>
        <v>#DIV/0!</v>
      </c>
      <c r="G13" s="15" t="e">
        <f t="shared" si="2"/>
        <v>#DIV/0!</v>
      </c>
      <c r="H13" s="14" t="e">
        <f>H8</f>
        <v>#DIV/0!</v>
      </c>
      <c r="I13" s="111" t="e">
        <f>I8</f>
        <v>#DIV/0!</v>
      </c>
      <c r="J13" s="8"/>
    </row>
    <row r="14" spans="1:18" x14ac:dyDescent="0.25">
      <c r="A14" s="4"/>
      <c r="B14" s="13">
        <v>9</v>
      </c>
      <c r="C14" s="14" t="e">
        <f>C7</f>
        <v>#DIV/0!</v>
      </c>
      <c r="D14" s="14" t="e">
        <f t="shared" si="0"/>
        <v>#DIV/0!</v>
      </c>
      <c r="E14" s="14" t="e">
        <f>E7</f>
        <v>#DIV/0!</v>
      </c>
      <c r="F14" s="14" t="e">
        <f t="shared" si="1"/>
        <v>#DIV/0!</v>
      </c>
      <c r="G14" s="15" t="e">
        <f t="shared" si="2"/>
        <v>#DIV/0!</v>
      </c>
      <c r="H14" s="14">
        <f>H7</f>
        <v>0</v>
      </c>
      <c r="I14" s="112" t="e">
        <f>I7</f>
        <v>#DIV/0!</v>
      </c>
      <c r="J14" s="8"/>
    </row>
    <row r="15" spans="1:18" x14ac:dyDescent="0.25">
      <c r="B15" s="13" t="s">
        <v>82</v>
      </c>
      <c r="C15" s="14" t="e">
        <f>15*D3-données!I19</f>
        <v>#DIV/0!</v>
      </c>
      <c r="D15" s="14" t="e">
        <f t="shared" si="0"/>
        <v>#DIV/0!</v>
      </c>
      <c r="E15" s="14">
        <v>0</v>
      </c>
      <c r="F15" s="14" t="e">
        <f t="shared" si="1"/>
        <v>#DIV/0!</v>
      </c>
      <c r="G15" s="15" t="e">
        <f t="shared" si="2"/>
        <v>#DIV/0!</v>
      </c>
      <c r="H15" s="15">
        <f>données!M34</f>
        <v>0</v>
      </c>
      <c r="I15" s="7" t="e">
        <f>D15*H15^2/12+D15*G15^2</f>
        <v>#DIV/0!</v>
      </c>
      <c r="J15" s="8"/>
    </row>
    <row r="16" spans="1:18" x14ac:dyDescent="0.25">
      <c r="B16" s="25" t="s">
        <v>6</v>
      </c>
      <c r="C16" s="16"/>
      <c r="D16" s="26" t="e">
        <f>SUM(D6:D15)</f>
        <v>#DIV/0!</v>
      </c>
      <c r="E16" s="17"/>
      <c r="F16" s="14" t="e">
        <f>SUM(F6:F15)</f>
        <v>#DIV/0!</v>
      </c>
      <c r="G16" s="17" t="e">
        <f>F16/D16</f>
        <v>#DIV/0!</v>
      </c>
      <c r="H16" s="17"/>
      <c r="I16" s="7" t="e">
        <f>SUM(I6:I15)</f>
        <v>#DIV/0!</v>
      </c>
      <c r="J16" s="8"/>
    </row>
    <row r="17" spans="1:18" x14ac:dyDescent="0.25">
      <c r="B17" s="18"/>
      <c r="C17" s="17"/>
      <c r="D17" s="17"/>
      <c r="E17" s="17"/>
      <c r="F17" s="17"/>
      <c r="G17" s="17"/>
      <c r="H17" s="17"/>
      <c r="I17" s="121"/>
      <c r="J17" s="8"/>
    </row>
    <row r="18" spans="1:18" ht="16.5" x14ac:dyDescent="0.3">
      <c r="B18" s="13" t="s">
        <v>5</v>
      </c>
      <c r="C18" s="13" t="s">
        <v>44</v>
      </c>
      <c r="D18" s="13" t="s">
        <v>47</v>
      </c>
      <c r="E18" s="13"/>
      <c r="F18" s="13"/>
      <c r="G18" s="13"/>
      <c r="H18" s="13"/>
      <c r="I18" s="13"/>
      <c r="J18" s="8"/>
      <c r="K18" s="13" t="s">
        <v>35</v>
      </c>
      <c r="L18" s="13" t="s">
        <v>36</v>
      </c>
      <c r="M18" s="13" t="s">
        <v>37</v>
      </c>
      <c r="N18" s="13" t="s">
        <v>38</v>
      </c>
      <c r="O18" s="13" t="s">
        <v>39</v>
      </c>
      <c r="P18" s="13" t="s">
        <v>40</v>
      </c>
      <c r="Q18" s="13" t="s">
        <v>41</v>
      </c>
      <c r="R18" s="13"/>
    </row>
    <row r="19" spans="1:18" ht="18.75" x14ac:dyDescent="0.3">
      <c r="A19" s="4"/>
      <c r="B19" s="13" t="s">
        <v>81</v>
      </c>
      <c r="C19" s="14" t="e">
        <f>'largeur_eff_semelle bis (3)'!O5-données!I19</f>
        <v>#DIV/0!</v>
      </c>
      <c r="D19" s="14" t="e">
        <f>C19*$D$3</f>
        <v>#DIV/0!</v>
      </c>
      <c r="E19" s="14"/>
      <c r="F19" s="14"/>
      <c r="G19" s="15"/>
      <c r="H19" s="15"/>
      <c r="I19" s="12"/>
      <c r="J19" s="8"/>
      <c r="K19" s="2" t="s">
        <v>42</v>
      </c>
      <c r="L19" s="2"/>
      <c r="M19" s="2" t="s">
        <v>43</v>
      </c>
      <c r="N19" s="2"/>
      <c r="O19" s="2" t="s">
        <v>101</v>
      </c>
      <c r="P19" s="2"/>
      <c r="Q19" s="2" t="s">
        <v>102</v>
      </c>
      <c r="R19" s="2"/>
    </row>
    <row r="20" spans="1:18" x14ac:dyDescent="0.25">
      <c r="A20" s="4"/>
      <c r="B20" s="13">
        <v>2</v>
      </c>
      <c r="C20" s="14" t="e">
        <f>C7</f>
        <v>#DIV/0!</v>
      </c>
      <c r="D20" s="14" t="e">
        <f t="shared" ref="D20:D28" si="3">C20*$D$3</f>
        <v>#DIV/0!</v>
      </c>
      <c r="E20" s="14"/>
      <c r="F20" s="14"/>
      <c r="G20" s="15"/>
      <c r="H20" s="15"/>
      <c r="I20" s="6"/>
      <c r="J20" s="8"/>
      <c r="K20" s="8"/>
      <c r="L20" s="8"/>
    </row>
    <row r="21" spans="1:18" x14ac:dyDescent="0.25">
      <c r="A21" s="4"/>
      <c r="B21" s="13">
        <v>3</v>
      </c>
      <c r="C21" s="14" t="e">
        <f t="shared" ref="C21:C27" si="4">C8</f>
        <v>#DIV/0!</v>
      </c>
      <c r="D21" s="14" t="e">
        <f t="shared" si="3"/>
        <v>#DIV/0!</v>
      </c>
      <c r="E21" s="45"/>
      <c r="F21" s="14"/>
      <c r="G21" s="15"/>
      <c r="H21" s="15"/>
      <c r="I21" s="7"/>
      <c r="J21" s="8"/>
      <c r="K21" s="8"/>
      <c r="L21" s="8"/>
    </row>
    <row r="22" spans="1:18" x14ac:dyDescent="0.25">
      <c r="A22" s="4"/>
      <c r="B22" s="13">
        <v>4</v>
      </c>
      <c r="C22" s="14" t="e">
        <f t="shared" si="4"/>
        <v>#DIV/0!</v>
      </c>
      <c r="D22" s="14" t="e">
        <f t="shared" si="3"/>
        <v>#DIV/0!</v>
      </c>
      <c r="E22" s="16"/>
      <c r="F22" s="14"/>
      <c r="G22" s="15"/>
      <c r="H22" s="15"/>
      <c r="I22" s="6"/>
      <c r="J22" s="8"/>
      <c r="K22" s="8"/>
      <c r="L22" s="8"/>
    </row>
    <row r="23" spans="1:18" x14ac:dyDescent="0.25">
      <c r="A23" s="4"/>
      <c r="B23" s="13">
        <v>5</v>
      </c>
      <c r="C23" s="14" t="e">
        <f t="shared" si="4"/>
        <v>#DIV/0!</v>
      </c>
      <c r="D23" s="14" t="e">
        <f t="shared" si="3"/>
        <v>#DIV/0!</v>
      </c>
      <c r="E23" s="45"/>
      <c r="F23" s="14"/>
      <c r="G23" s="15"/>
      <c r="H23" s="15"/>
      <c r="I23" s="7"/>
      <c r="J23" s="8"/>
      <c r="K23" s="8" t="s">
        <v>16</v>
      </c>
      <c r="L23" s="8" t="e">
        <f>F29/#REF!</f>
        <v>#REF!</v>
      </c>
    </row>
    <row r="24" spans="1:18" x14ac:dyDescent="0.25">
      <c r="A24" s="4"/>
      <c r="B24" s="13">
        <v>6</v>
      </c>
      <c r="C24" s="14" t="e">
        <f t="shared" si="4"/>
        <v>#DIV/0!</v>
      </c>
      <c r="D24" s="14" t="e">
        <f t="shared" si="3"/>
        <v>#DIV/0!</v>
      </c>
      <c r="E24" s="16"/>
      <c r="F24" s="14"/>
      <c r="G24" s="15"/>
      <c r="H24" s="15"/>
      <c r="I24" s="63"/>
      <c r="J24" s="8"/>
    </row>
    <row r="25" spans="1:18" x14ac:dyDescent="0.25">
      <c r="A25" s="4"/>
      <c r="B25" s="13">
        <v>7</v>
      </c>
      <c r="C25" s="14" t="e">
        <f t="shared" si="4"/>
        <v>#DIV/0!</v>
      </c>
      <c r="D25" s="14" t="e">
        <f t="shared" si="3"/>
        <v>#DIV/0!</v>
      </c>
      <c r="E25" s="14"/>
      <c r="F25" s="14"/>
      <c r="G25" s="15"/>
      <c r="H25" s="14"/>
      <c r="I25" s="110"/>
      <c r="J25" s="8"/>
    </row>
    <row r="26" spans="1:18" x14ac:dyDescent="0.25">
      <c r="A26" s="4"/>
      <c r="B26" s="13">
        <v>8</v>
      </c>
      <c r="C26" s="14" t="e">
        <f t="shared" si="4"/>
        <v>#DIV/0!</v>
      </c>
      <c r="D26" s="14" t="e">
        <f t="shared" si="3"/>
        <v>#DIV/0!</v>
      </c>
      <c r="E26" s="14"/>
      <c r="F26" s="14"/>
      <c r="G26" s="15"/>
      <c r="H26" s="14"/>
      <c r="I26" s="111"/>
      <c r="J26" s="8"/>
    </row>
    <row r="27" spans="1:18" x14ac:dyDescent="0.25">
      <c r="A27" s="4"/>
      <c r="B27" s="13">
        <v>9</v>
      </c>
      <c r="C27" s="14" t="e">
        <f t="shared" si="4"/>
        <v>#DIV/0!</v>
      </c>
      <c r="D27" s="14" t="e">
        <f t="shared" si="3"/>
        <v>#DIV/0!</v>
      </c>
      <c r="E27" s="14"/>
      <c r="F27" s="14"/>
      <c r="G27" s="15"/>
      <c r="H27" s="14"/>
      <c r="I27" s="112"/>
      <c r="J27" s="8"/>
    </row>
    <row r="28" spans="1:18" x14ac:dyDescent="0.25">
      <c r="B28" s="13" t="s">
        <v>82</v>
      </c>
      <c r="C28" s="14" t="e">
        <f>'largeur_eff_semelle bis (3)'!O5-données!I19</f>
        <v>#DIV/0!</v>
      </c>
      <c r="D28" s="14" t="e">
        <f t="shared" si="3"/>
        <v>#DIV/0!</v>
      </c>
      <c r="E28" s="14"/>
      <c r="F28" s="14"/>
      <c r="G28" s="15"/>
      <c r="H28" s="15"/>
      <c r="I28" s="66"/>
      <c r="J28" s="8"/>
    </row>
    <row r="29" spans="1:18" x14ac:dyDescent="0.25">
      <c r="B29" s="25" t="s">
        <v>6</v>
      </c>
      <c r="C29" s="16"/>
      <c r="D29" s="26" t="e">
        <f>SUM(D19:D28)</f>
        <v>#DIV/0!</v>
      </c>
      <c r="E29" s="17"/>
      <c r="F29" s="14"/>
      <c r="G29" s="17"/>
      <c r="H29" s="17"/>
      <c r="I29" s="7"/>
      <c r="J29" s="8"/>
    </row>
    <row r="30" spans="1:18" x14ac:dyDescent="0.25">
      <c r="B30" s="18"/>
      <c r="C30" s="17"/>
      <c r="D30" s="17"/>
      <c r="E30" s="17"/>
      <c r="F30" s="17"/>
      <c r="G30" s="17"/>
      <c r="H30" s="17"/>
      <c r="I30" s="121"/>
      <c r="J30" s="8"/>
    </row>
    <row r="31" spans="1:18" x14ac:dyDescent="0.25">
      <c r="B31" s="18"/>
      <c r="C31" s="18"/>
      <c r="D31" s="18"/>
      <c r="E31" s="18"/>
      <c r="F31" s="18"/>
      <c r="G31" s="18"/>
      <c r="H31" s="19"/>
      <c r="I31" s="19"/>
      <c r="J31" s="19"/>
      <c r="K31" s="8"/>
      <c r="L31" s="8"/>
    </row>
    <row r="32" spans="1:18" ht="16.5" x14ac:dyDescent="0.3">
      <c r="B32" s="2" t="s">
        <v>111</v>
      </c>
      <c r="C32" s="2"/>
      <c r="D32" s="2" t="s">
        <v>25</v>
      </c>
      <c r="E32" s="2" t="s">
        <v>26</v>
      </c>
      <c r="F32" s="2" t="s">
        <v>27</v>
      </c>
      <c r="G32" s="2" t="s">
        <v>28</v>
      </c>
      <c r="H32" s="2" t="s">
        <v>107</v>
      </c>
      <c r="I32" s="2" t="s">
        <v>29</v>
      </c>
      <c r="J32" s="8"/>
      <c r="K32" s="8"/>
      <c r="L32" s="8"/>
    </row>
    <row r="33" spans="2:12" x14ac:dyDescent="0.25">
      <c r="B33" s="7" t="e">
        <f>2*C3+B3</f>
        <v>#DIV/0!</v>
      </c>
      <c r="C33" s="7"/>
      <c r="D33" s="7">
        <f>données!D15</f>
        <v>0</v>
      </c>
      <c r="E33" s="7" t="e">
        <f>données!M3</f>
        <v>#DIV/0!</v>
      </c>
      <c r="F33" s="7" t="e">
        <f>3.07*(I16*C3^2*(2*C3+3*B3)/D3^3)^0.25</f>
        <v>#DIV/0!</v>
      </c>
      <c r="G33" s="7" t="e">
        <f>F33/E33</f>
        <v>#DIV/0!</v>
      </c>
      <c r="H33" s="7" t="e">
        <f>((E33+2*B33)/(E33+0.5*B33))^0.5</f>
        <v>#DIV/0!</v>
      </c>
      <c r="I33" s="67" t="e">
        <f>IF(G33&gt;2,H33,(H33-(H33-1)*(2*F33/E33-(F33/E33)^2)))</f>
        <v>#DIV/0!</v>
      </c>
      <c r="J33" s="8"/>
      <c r="K33" s="8"/>
      <c r="L33" s="8"/>
    </row>
    <row r="34" spans="2:12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2:12" ht="16.5" x14ac:dyDescent="0.3">
      <c r="B35" s="2" t="s">
        <v>50</v>
      </c>
      <c r="C35" s="8"/>
      <c r="D35" s="8"/>
      <c r="E35" s="8"/>
      <c r="F35" s="8"/>
      <c r="G35" s="8"/>
      <c r="H35" s="8"/>
      <c r="I35" s="8"/>
      <c r="J35" s="8"/>
      <c r="K35" s="8"/>
    </row>
    <row r="36" spans="2:12" x14ac:dyDescent="0.25">
      <c r="B36" s="7" t="e">
        <f>4.2*I33*E3/D29*(I16*D3^3/4/C3^2/(2*C3+3*B3))^0.5</f>
        <v>#DIV/0!</v>
      </c>
      <c r="C36" s="8"/>
      <c r="D36" s="8"/>
      <c r="E36" s="8"/>
      <c r="F36" s="8"/>
      <c r="G36" s="8"/>
      <c r="H36" s="8"/>
      <c r="I36" s="8"/>
      <c r="J36" s="8"/>
      <c r="K36" s="8"/>
    </row>
    <row r="38" spans="2:12" ht="16.5" x14ac:dyDescent="0.3">
      <c r="B38" s="2" t="s">
        <v>20</v>
      </c>
      <c r="C38" s="2" t="s">
        <v>10</v>
      </c>
      <c r="D38" s="2" t="s">
        <v>108</v>
      </c>
      <c r="E38" s="2" t="s">
        <v>109</v>
      </c>
    </row>
    <row r="39" spans="2:12" x14ac:dyDescent="0.25">
      <c r="B39" s="6">
        <f>données!G3</f>
        <v>0</v>
      </c>
      <c r="C39" s="11" t="e">
        <f>(B39/B36)^0.5</f>
        <v>#DIV/0!</v>
      </c>
      <c r="D39" t="e">
        <f>IF(C39&lt;0.65,1,(1.47-0.723*C39))</f>
        <v>#DIV/0!</v>
      </c>
      <c r="E39" t="e">
        <f>IF(C39&gt;1.38,0.66/C39,D39)</f>
        <v>#DIV/0!</v>
      </c>
    </row>
    <row r="41" spans="2:12" ht="16.5" x14ac:dyDescent="0.3">
      <c r="B41" s="7" t="s">
        <v>11</v>
      </c>
      <c r="C41" s="13" t="s">
        <v>56</v>
      </c>
      <c r="E41" s="2" t="s">
        <v>142</v>
      </c>
    </row>
    <row r="42" spans="2:12" x14ac:dyDescent="0.25">
      <c r="B42" s="68" t="e">
        <f>E39</f>
        <v>#DIV/0!</v>
      </c>
      <c r="C42" s="14" t="e">
        <f>B42*données!E3</f>
        <v>#DIV/0!</v>
      </c>
      <c r="E42" t="e">
        <f>B39/'largeur_eff_semelle (3)'!K5/'largeur_eff_semelle (3)'!J5</f>
        <v>#DIV/0!</v>
      </c>
      <c r="G42" s="74" t="e">
        <f>B42*E42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windowProtection="1" topLeftCell="A2" workbookViewId="0">
      <selection activeCell="B11" sqref="B11:F20"/>
    </sheetView>
  </sheetViews>
  <sheetFormatPr baseColWidth="10" defaultRowHeight="15" x14ac:dyDescent="0.25"/>
  <cols>
    <col min="6" max="6" width="11.42578125" customWidth="1"/>
  </cols>
  <sheetData>
    <row r="2" spans="2:9" ht="16.5" x14ac:dyDescent="0.3">
      <c r="B2" s="2" t="s">
        <v>0</v>
      </c>
      <c r="C2" s="2" t="s">
        <v>2</v>
      </c>
      <c r="D2" s="2" t="s">
        <v>20</v>
      </c>
      <c r="E2" s="41" t="s">
        <v>79</v>
      </c>
      <c r="F2" s="40" t="s">
        <v>78</v>
      </c>
      <c r="G2" s="2" t="s">
        <v>83</v>
      </c>
      <c r="H2" s="2" t="s">
        <v>33</v>
      </c>
      <c r="I2" s="8"/>
    </row>
    <row r="3" spans="2:9" x14ac:dyDescent="0.25">
      <c r="B3" s="2">
        <f>données!E3</f>
        <v>0</v>
      </c>
      <c r="C3" s="7">
        <f>données!H3</f>
        <v>0</v>
      </c>
      <c r="D3" s="46">
        <f>données!G3</f>
        <v>0</v>
      </c>
      <c r="E3" s="11">
        <v>1</v>
      </c>
      <c r="F3" s="11" t="e">
        <f>MIN(D3,D3*(données!L3-résistance_section!H32)/résistance_section!H32)</f>
        <v>#DIV/0!</v>
      </c>
      <c r="G3" s="7" t="e">
        <f>données!L3-résistance_section!H32</f>
        <v>#DIV/0!</v>
      </c>
      <c r="H3" s="2" t="e">
        <f>G3/SIN(données!B3)-données!C20</f>
        <v>#DIV/0!</v>
      </c>
      <c r="I3" s="8"/>
    </row>
    <row r="4" spans="2:9" x14ac:dyDescent="0.25">
      <c r="B4" s="8"/>
      <c r="C4" s="8"/>
      <c r="D4" s="8"/>
      <c r="E4" s="8"/>
      <c r="F4" s="8"/>
      <c r="G4" s="8"/>
      <c r="H4" s="8"/>
    </row>
    <row r="5" spans="2:9" ht="16.5" x14ac:dyDescent="0.3">
      <c r="B5" s="2" t="s">
        <v>30</v>
      </c>
      <c r="C5" s="2" t="s">
        <v>31</v>
      </c>
      <c r="D5" s="2" t="s">
        <v>112</v>
      </c>
      <c r="E5" s="2" t="s">
        <v>113</v>
      </c>
      <c r="F5" s="8" t="s">
        <v>114</v>
      </c>
      <c r="G5" s="8"/>
      <c r="H5" s="8"/>
    </row>
    <row r="6" spans="2:9" x14ac:dyDescent="0.25">
      <c r="B6" s="66" t="e">
        <f>0.95*B3*(C3/F3/E3)^0.5</f>
        <v>#DIV/0!</v>
      </c>
      <c r="C6" s="66" t="e">
        <f>B6</f>
        <v>#DIV/0!</v>
      </c>
      <c r="D6" s="7" t="e">
        <f>1.5*C6</f>
        <v>#DIV/0!</v>
      </c>
      <c r="E6" s="9" t="e">
        <f>C6+D6</f>
        <v>#DIV/0!</v>
      </c>
      <c r="F6" s="8"/>
      <c r="G6" s="69" t="s">
        <v>177</v>
      </c>
      <c r="H6" s="8"/>
    </row>
    <row r="7" spans="2:9" x14ac:dyDescent="0.25">
      <c r="B7" s="8"/>
      <c r="C7" s="8"/>
      <c r="D7" s="8"/>
      <c r="E7" s="8"/>
      <c r="F7" s="8"/>
      <c r="G7" s="8"/>
      <c r="H7" s="8"/>
    </row>
    <row r="8" spans="2:9" x14ac:dyDescent="0.25">
      <c r="B8" s="113" t="s">
        <v>9</v>
      </c>
      <c r="C8" s="69"/>
      <c r="D8" s="69"/>
      <c r="E8" s="69"/>
      <c r="F8" s="8"/>
      <c r="G8" s="8"/>
      <c r="H8" s="8"/>
    </row>
    <row r="9" spans="2:9" x14ac:dyDescent="0.25">
      <c r="B9" s="8"/>
      <c r="C9" s="8"/>
      <c r="D9" s="8"/>
      <c r="E9" s="8"/>
      <c r="F9" s="8"/>
      <c r="G9" s="8"/>
      <c r="H9" s="8"/>
    </row>
    <row r="10" spans="2:9" ht="18.75" x14ac:dyDescent="0.3">
      <c r="B10" s="13" t="s">
        <v>5</v>
      </c>
      <c r="C10" s="13" t="s">
        <v>44</v>
      </c>
      <c r="D10" s="13" t="s">
        <v>47</v>
      </c>
      <c r="E10" s="13" t="s">
        <v>45</v>
      </c>
      <c r="F10" s="13" t="s">
        <v>48</v>
      </c>
      <c r="G10" s="13" t="s">
        <v>32</v>
      </c>
      <c r="H10" s="8"/>
    </row>
    <row r="11" spans="2:9" x14ac:dyDescent="0.25">
      <c r="B11" s="43">
        <v>1</v>
      </c>
      <c r="C11" s="44" t="e">
        <f>données!C30</f>
        <v>#DIV/0!</v>
      </c>
      <c r="D11" s="44" t="e">
        <f>C11*$B$3</f>
        <v>#DIV/0!</v>
      </c>
      <c r="E11" s="44">
        <v>0</v>
      </c>
      <c r="F11" s="44" t="e">
        <f>D11*E11</f>
        <v>#DIV/0!</v>
      </c>
      <c r="G11" s="18"/>
      <c r="H11" s="8"/>
    </row>
    <row r="12" spans="2:9" x14ac:dyDescent="0.25">
      <c r="B12" s="43">
        <v>2</v>
      </c>
      <c r="C12" s="44" t="e">
        <f>données!#REF!</f>
        <v>#REF!</v>
      </c>
      <c r="D12" s="44" t="e">
        <f>C12*$B$3</f>
        <v>#REF!</v>
      </c>
      <c r="E12" s="43" t="e">
        <f>données!#REF!/2</f>
        <v>#REF!</v>
      </c>
      <c r="F12" s="44" t="e">
        <f>D12*E12</f>
        <v>#REF!</v>
      </c>
      <c r="G12" s="18"/>
      <c r="H12" s="8"/>
    </row>
    <row r="13" spans="2:9" x14ac:dyDescent="0.25">
      <c r="B13" s="43">
        <v>3</v>
      </c>
      <c r="C13" s="44">
        <f>données!C6</f>
        <v>0</v>
      </c>
      <c r="D13" s="44">
        <f>C13*$B$3</f>
        <v>0</v>
      </c>
      <c r="E13" s="43">
        <f>données!D6/2</f>
        <v>0</v>
      </c>
      <c r="F13" s="44">
        <f>D13*E13</f>
        <v>0</v>
      </c>
      <c r="G13" s="18"/>
      <c r="H13" s="8"/>
    </row>
    <row r="14" spans="2:9" x14ac:dyDescent="0.25">
      <c r="B14" s="43">
        <v>4</v>
      </c>
      <c r="C14" s="44" t="e">
        <f>largeur_eff_semelle!O5</f>
        <v>#DIV/0!</v>
      </c>
      <c r="D14" s="44" t="e">
        <f>C14*$B$3</f>
        <v>#DIV/0!</v>
      </c>
      <c r="E14" s="44">
        <v>0</v>
      </c>
      <c r="F14" s="44" t="e">
        <f>D14*E14</f>
        <v>#DIV/0!</v>
      </c>
      <c r="G14" s="8"/>
      <c r="H14" s="8"/>
    </row>
    <row r="15" spans="2:9" x14ac:dyDescent="0.25">
      <c r="B15" s="43">
        <v>5</v>
      </c>
      <c r="C15" s="44" t="e">
        <f>largeur_eff_semelle!O5</f>
        <v>#DIV/0!</v>
      </c>
      <c r="D15" s="44" t="e">
        <f t="shared" ref="D15:D20" si="0">C15*$B$3</f>
        <v>#DIV/0!</v>
      </c>
      <c r="E15" s="44">
        <f>F8/2</f>
        <v>0</v>
      </c>
      <c r="F15" s="44" t="e">
        <f t="shared" ref="F15:F20" si="1">D15*E15</f>
        <v>#DIV/0!</v>
      </c>
      <c r="G15" s="8"/>
      <c r="H15" s="8"/>
    </row>
    <row r="16" spans="2:9" x14ac:dyDescent="0.25">
      <c r="B16" s="43">
        <v>6</v>
      </c>
      <c r="C16" s="44">
        <f>données!C8</f>
        <v>0</v>
      </c>
      <c r="D16" s="44">
        <f t="shared" si="0"/>
        <v>0</v>
      </c>
      <c r="E16" s="49">
        <f>données!D8/2</f>
        <v>0</v>
      </c>
      <c r="F16" s="44">
        <f t="shared" si="1"/>
        <v>0</v>
      </c>
      <c r="G16" s="8"/>
      <c r="H16" s="8"/>
    </row>
    <row r="17" spans="2:8" x14ac:dyDescent="0.25">
      <c r="B17" s="43">
        <v>7</v>
      </c>
      <c r="C17" s="44">
        <f>données!C9</f>
        <v>0</v>
      </c>
      <c r="D17" s="44">
        <f t="shared" si="0"/>
        <v>0</v>
      </c>
      <c r="E17" s="44">
        <f>données!D8+données!D9/2</f>
        <v>0</v>
      </c>
      <c r="F17" s="44">
        <f t="shared" si="1"/>
        <v>0</v>
      </c>
      <c r="G17" s="8"/>
      <c r="H17" s="8"/>
    </row>
    <row r="18" spans="2:8" x14ac:dyDescent="0.25">
      <c r="B18" s="43">
        <v>8</v>
      </c>
      <c r="C18" s="50">
        <f>données!C11</f>
        <v>0</v>
      </c>
      <c r="D18" s="44">
        <f>C18*$B$3</f>
        <v>0</v>
      </c>
      <c r="E18" s="44">
        <f>données!D8+données!D9+données!D11/2</f>
        <v>0</v>
      </c>
      <c r="F18" s="44">
        <f t="shared" si="1"/>
        <v>0</v>
      </c>
      <c r="G18" s="8"/>
      <c r="H18" s="8"/>
    </row>
    <row r="19" spans="2:8" x14ac:dyDescent="0.25">
      <c r="B19" s="43">
        <v>9</v>
      </c>
      <c r="C19" s="50">
        <f>données!C13</f>
        <v>0</v>
      </c>
      <c r="D19" s="44">
        <f t="shared" si="0"/>
        <v>0</v>
      </c>
      <c r="E19" s="44">
        <f>données!D15</f>
        <v>0</v>
      </c>
      <c r="F19" s="44">
        <f t="shared" si="1"/>
        <v>0</v>
      </c>
      <c r="G19" s="8"/>
      <c r="H19" s="8"/>
    </row>
    <row r="20" spans="2:8" x14ac:dyDescent="0.25">
      <c r="B20" s="43">
        <v>10</v>
      </c>
      <c r="C20" s="50">
        <f>données!C14</f>
        <v>0</v>
      </c>
      <c r="D20" s="44">
        <f t="shared" si="0"/>
        <v>0</v>
      </c>
      <c r="E20" s="44">
        <f>données!D15-données!D14/2</f>
        <v>0</v>
      </c>
      <c r="F20" s="44">
        <f t="shared" si="1"/>
        <v>0</v>
      </c>
      <c r="G20" s="8"/>
      <c r="H20" s="8"/>
    </row>
    <row r="21" spans="2:8" x14ac:dyDescent="0.25">
      <c r="B21" s="13" t="s">
        <v>6</v>
      </c>
      <c r="C21" s="8"/>
      <c r="D21" s="7" t="e">
        <f>SUM(D11:D20)</f>
        <v>#DIV/0!</v>
      </c>
      <c r="E21" s="8"/>
      <c r="F21" s="7" t="e">
        <f>SUM(F11:F20)</f>
        <v>#DIV/0!</v>
      </c>
      <c r="G21" s="7" t="e">
        <f>F21/D21</f>
        <v>#DIV/0!</v>
      </c>
      <c r="H21" s="8"/>
    </row>
    <row r="22" spans="2:8" x14ac:dyDescent="0.25">
      <c r="B22" s="8"/>
      <c r="C22" s="8"/>
      <c r="D22" s="8"/>
      <c r="E22" s="8"/>
      <c r="F22" s="8"/>
      <c r="G22" s="8"/>
      <c r="H22" s="8"/>
    </row>
    <row r="23" spans="2:8" ht="16.5" x14ac:dyDescent="0.3">
      <c r="B23" s="2" t="s">
        <v>133</v>
      </c>
      <c r="C23" s="2" t="s">
        <v>134</v>
      </c>
      <c r="D23" s="8"/>
      <c r="E23" s="8"/>
      <c r="F23" s="8"/>
      <c r="G23" s="8"/>
      <c r="H23" s="10" t="s">
        <v>112</v>
      </c>
    </row>
    <row r="24" spans="2:8" x14ac:dyDescent="0.25">
      <c r="B24" s="7">
        <f>données!D8</f>
        <v>0</v>
      </c>
      <c r="C24" s="7" t="e">
        <f>(1+0.5*B24/G21)*B6</f>
        <v>#DIV/0!</v>
      </c>
      <c r="D24" s="8"/>
      <c r="E24" s="8"/>
      <c r="F24" s="8"/>
      <c r="G24" s="8"/>
      <c r="H24" s="7" t="e">
        <f>D27/(C27+D27)*E27</f>
        <v>#DIV/0!</v>
      </c>
    </row>
    <row r="25" spans="2:8" x14ac:dyDescent="0.25">
      <c r="B25" s="8"/>
      <c r="C25" s="8"/>
      <c r="D25" s="8"/>
      <c r="E25" s="8"/>
      <c r="F25" s="8"/>
      <c r="G25" s="8"/>
      <c r="H25" s="114"/>
    </row>
    <row r="26" spans="2:8" ht="16.5" x14ac:dyDescent="0.3">
      <c r="B26" s="2" t="s">
        <v>135</v>
      </c>
      <c r="C26" s="2" t="s">
        <v>136</v>
      </c>
      <c r="D26" s="2" t="s">
        <v>112</v>
      </c>
      <c r="E26" s="2" t="s">
        <v>33</v>
      </c>
      <c r="F26" s="2" t="s">
        <v>137</v>
      </c>
      <c r="G26" s="10" t="s">
        <v>136</v>
      </c>
      <c r="H26" s="114"/>
    </row>
    <row r="27" spans="2:8" x14ac:dyDescent="0.25">
      <c r="B27" s="7">
        <f>données!F7</f>
        <v>0</v>
      </c>
      <c r="C27" s="7" t="e">
        <f>(1+0.5*(B24+B27)/G21)*B6</f>
        <v>#DIV/0!</v>
      </c>
      <c r="D27" s="7" t="e">
        <f>1.5*B6</f>
        <v>#DIV/0!</v>
      </c>
      <c r="E27" s="7" t="e">
        <f>C6+D28+D27+E32</f>
        <v>#DIV/0!</v>
      </c>
      <c r="F27" s="7" t="e">
        <f>C27+D27</f>
        <v>#DIV/0!</v>
      </c>
      <c r="G27" s="7" t="e">
        <f>C27/(C27+D27)*E27</f>
        <v>#DIV/0!</v>
      </c>
      <c r="H27" s="114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indowProtection="1" topLeftCell="D1" workbookViewId="0">
      <selection activeCell="P3" sqref="P3"/>
    </sheetView>
  </sheetViews>
  <sheetFormatPr baseColWidth="10" defaultRowHeight="15" x14ac:dyDescent="0.25"/>
  <cols>
    <col min="2" max="2" width="12.7109375" customWidth="1"/>
    <col min="10" max="10" width="10.42578125" customWidth="1"/>
  </cols>
  <sheetData>
    <row r="1" spans="1:19" x14ac:dyDescent="0.25">
      <c r="Q1" s="74" t="s">
        <v>147</v>
      </c>
      <c r="R1" s="74"/>
      <c r="S1" s="74"/>
    </row>
    <row r="2" spans="1:19" ht="17.25" thickBot="1" x14ac:dyDescent="0.35">
      <c r="A2" s="2" t="s">
        <v>99</v>
      </c>
      <c r="B2" s="2" t="s">
        <v>18</v>
      </c>
      <c r="C2" s="56" t="s">
        <v>124</v>
      </c>
      <c r="D2" s="2" t="s">
        <v>19</v>
      </c>
      <c r="E2" s="2" t="s">
        <v>0</v>
      </c>
      <c r="F2" s="2" t="s">
        <v>169</v>
      </c>
      <c r="G2" s="2" t="s">
        <v>20</v>
      </c>
      <c r="H2" s="2" t="s">
        <v>2</v>
      </c>
      <c r="I2" s="10" t="s">
        <v>168</v>
      </c>
      <c r="J2" s="104" t="s">
        <v>118</v>
      </c>
      <c r="K2" s="10" t="s">
        <v>94</v>
      </c>
      <c r="L2" s="10" t="s">
        <v>100</v>
      </c>
      <c r="M2" s="10" t="s">
        <v>57</v>
      </c>
      <c r="N2" s="119" t="s">
        <v>143</v>
      </c>
      <c r="P2" s="116" t="s">
        <v>141</v>
      </c>
      <c r="Q2" s="74" t="s">
        <v>148</v>
      </c>
      <c r="R2" s="74" t="s">
        <v>119</v>
      </c>
      <c r="S2" s="74" t="s">
        <v>149</v>
      </c>
    </row>
    <row r="3" spans="1:19" ht="15.75" thickBot="1" x14ac:dyDescent="0.3">
      <c r="A3" t="e">
        <f>B3</f>
        <v>#DIV/0!</v>
      </c>
      <c r="B3" s="2" t="e">
        <f>Feuil1!L6</f>
        <v>#DIV/0!</v>
      </c>
      <c r="C3" s="8" t="e">
        <f>Feuil1!M6</f>
        <v>#DIV/0!</v>
      </c>
      <c r="D3" s="2" t="e">
        <f>Feuil1!K6</f>
        <v>#DIV/0!</v>
      </c>
      <c r="E3" s="103">
        <f>Feuil1!E6</f>
        <v>0</v>
      </c>
      <c r="F3" s="7">
        <f>Feuil1!F6</f>
        <v>0</v>
      </c>
      <c r="G3" s="84">
        <f>Feuil1!I6</f>
        <v>0</v>
      </c>
      <c r="H3" s="7">
        <f>Feuil1!J6</f>
        <v>0</v>
      </c>
      <c r="I3" s="118">
        <f>IF(Feuil1!D6=0,0,Feuil1!D6+(F3)/2)</f>
        <v>0</v>
      </c>
      <c r="J3" s="141">
        <f>Feuil1!C6+F3/2</f>
        <v>0</v>
      </c>
      <c r="K3" s="66">
        <f>Feuil1!G6</f>
        <v>0</v>
      </c>
      <c r="L3" s="66">
        <f>Feuil1!H6</f>
        <v>0</v>
      </c>
      <c r="M3" s="3" t="e">
        <f>C9-C18-C20</f>
        <v>#DIV/0!</v>
      </c>
      <c r="N3" s="141">
        <f>Feuil1!D10</f>
        <v>0</v>
      </c>
      <c r="O3" s="109" t="s">
        <v>129</v>
      </c>
      <c r="P3" s="116">
        <f>IF(Feuil1!B6=0,0,Feuil1!B6+(F3)/2)</f>
        <v>0</v>
      </c>
      <c r="Q3" s="74">
        <f>AVERAGE(13.2,14.6,14.1,14.6)</f>
        <v>14.125</v>
      </c>
      <c r="R3" s="74">
        <f>AVERAGE(32,27,29,26.5)</f>
        <v>28.625</v>
      </c>
      <c r="S3" s="74" t="e">
        <f>$L3-$R3-$Q3/2*SIN($B3)</f>
        <v>#DIV/0!</v>
      </c>
    </row>
    <row r="4" spans="1:19" x14ac:dyDescent="0.25">
      <c r="A4" t="e">
        <f>A3/PI()*180</f>
        <v>#DIV/0!</v>
      </c>
      <c r="B4" s="8"/>
      <c r="C4" s="8"/>
      <c r="D4" s="8" t="e">
        <f>COS(D3)</f>
        <v>#DIV/0!</v>
      </c>
      <c r="E4" s="8"/>
      <c r="F4" s="8"/>
      <c r="G4" s="8"/>
      <c r="N4" s="130"/>
      <c r="O4" s="74" t="s">
        <v>144</v>
      </c>
      <c r="P4" s="74">
        <f>0.067/0.067</f>
        <v>1</v>
      </c>
      <c r="Q4" s="74">
        <f>6-6</f>
        <v>0</v>
      </c>
      <c r="R4" s="74"/>
      <c r="S4" s="74"/>
    </row>
    <row r="5" spans="1:19" ht="16.5" x14ac:dyDescent="0.3">
      <c r="A5" t="s">
        <v>63</v>
      </c>
      <c r="B5" s="102" t="s">
        <v>14</v>
      </c>
      <c r="C5" s="102" t="s">
        <v>116</v>
      </c>
      <c r="D5" s="102" t="s">
        <v>52</v>
      </c>
      <c r="E5" s="102" t="s">
        <v>53</v>
      </c>
      <c r="F5" s="92"/>
      <c r="G5" s="92"/>
      <c r="H5" s="93"/>
      <c r="I5" s="94"/>
      <c r="J5" s="94"/>
      <c r="K5" s="94"/>
      <c r="L5" s="94"/>
      <c r="M5" s="95"/>
      <c r="O5" s="130"/>
      <c r="Q5" s="74" t="s">
        <v>145</v>
      </c>
      <c r="R5" s="74">
        <f>2.75-2.75</f>
        <v>0</v>
      </c>
      <c r="S5" s="74"/>
    </row>
    <row r="6" spans="1:19" x14ac:dyDescent="0.25">
      <c r="B6" s="102">
        <v>1</v>
      </c>
      <c r="C6" s="63">
        <f>Feuil1!C9</f>
        <v>0</v>
      </c>
      <c r="D6" s="63">
        <f>Feuil1!D9</f>
        <v>0</v>
      </c>
      <c r="E6" s="63">
        <f>Feuil1!E9</f>
        <v>0</v>
      </c>
      <c r="F6" s="97"/>
      <c r="G6" s="97"/>
      <c r="H6" s="98"/>
      <c r="I6" s="99"/>
      <c r="J6" s="99"/>
      <c r="K6" s="99"/>
      <c r="L6" s="99"/>
      <c r="M6" s="99"/>
      <c r="N6" s="96"/>
      <c r="O6" s="130"/>
      <c r="P6" s="130"/>
    </row>
    <row r="7" spans="1:19" x14ac:dyDescent="0.25">
      <c r="B7" s="102">
        <v>2</v>
      </c>
      <c r="C7" s="63">
        <f>Feuil1!C10</f>
        <v>0</v>
      </c>
      <c r="D7" s="63">
        <f>Feuil1!D10</f>
        <v>0</v>
      </c>
      <c r="E7" s="63">
        <f>Feuil1!E10</f>
        <v>0</v>
      </c>
      <c r="F7" s="100"/>
      <c r="G7" s="100"/>
      <c r="H7" s="98"/>
      <c r="I7" s="99"/>
      <c r="J7" s="142"/>
      <c r="K7" s="99"/>
      <c r="L7" s="99"/>
      <c r="M7" s="101"/>
      <c r="N7" s="96"/>
    </row>
    <row r="8" spans="1:19" x14ac:dyDescent="0.25">
      <c r="B8" s="102">
        <v>3</v>
      </c>
      <c r="C8" s="63">
        <f>Feuil1!C11</f>
        <v>0</v>
      </c>
      <c r="D8" s="63">
        <f>Feuil1!D11</f>
        <v>0</v>
      </c>
      <c r="E8" s="63">
        <f>Feuil1!E11</f>
        <v>0</v>
      </c>
      <c r="F8" s="100"/>
      <c r="G8" s="100"/>
      <c r="H8" s="98"/>
      <c r="I8" s="99"/>
      <c r="J8" s="142"/>
      <c r="K8" s="99"/>
      <c r="L8" s="99"/>
      <c r="M8" s="99"/>
      <c r="N8" s="96"/>
      <c r="P8" s="130"/>
    </row>
    <row r="9" spans="1:19" x14ac:dyDescent="0.25">
      <c r="B9" s="102">
        <v>4</v>
      </c>
      <c r="C9" s="63">
        <f>Feuil1!C12</f>
        <v>0</v>
      </c>
      <c r="D9" s="63">
        <f>Feuil1!D12</f>
        <v>0</v>
      </c>
      <c r="E9" s="63">
        <f>Feuil1!E12</f>
        <v>0</v>
      </c>
      <c r="F9" s="100"/>
      <c r="G9" s="100"/>
      <c r="H9" s="98"/>
      <c r="I9" s="99"/>
      <c r="J9" s="99"/>
      <c r="K9" s="99"/>
      <c r="L9" s="99"/>
      <c r="M9" s="99"/>
      <c r="N9" s="96"/>
      <c r="P9" s="130"/>
      <c r="R9" s="130"/>
      <c r="S9" s="130"/>
    </row>
    <row r="10" spans="1:19" x14ac:dyDescent="0.25">
      <c r="B10" s="102">
        <v>5</v>
      </c>
      <c r="C10" s="63">
        <f>Feuil1!C13</f>
        <v>0</v>
      </c>
      <c r="D10" s="63">
        <f>Feuil1!D13</f>
        <v>0</v>
      </c>
      <c r="E10" s="63">
        <f>Feuil1!E13</f>
        <v>0</v>
      </c>
      <c r="F10" s="100"/>
      <c r="G10" s="100"/>
      <c r="H10" s="98"/>
      <c r="I10" s="99"/>
      <c r="J10" s="99"/>
      <c r="K10" s="99"/>
      <c r="L10" s="99"/>
      <c r="M10" s="99"/>
      <c r="N10" s="96"/>
    </row>
    <row r="11" spans="1:19" x14ac:dyDescent="0.25">
      <c r="B11" s="102">
        <v>6</v>
      </c>
      <c r="C11" s="63">
        <f>Feuil1!C14</f>
        <v>0</v>
      </c>
      <c r="D11" s="63">
        <f>Feuil1!D14</f>
        <v>0</v>
      </c>
      <c r="E11" s="63">
        <f>Feuil1!E14</f>
        <v>0</v>
      </c>
      <c r="F11" s="100">
        <f>E8+E9+E11</f>
        <v>0</v>
      </c>
      <c r="G11" s="100"/>
      <c r="H11" s="98"/>
      <c r="I11" s="99"/>
      <c r="J11" s="142"/>
      <c r="K11" s="99"/>
      <c r="L11" s="99"/>
      <c r="M11" s="99"/>
      <c r="N11" s="96"/>
    </row>
    <row r="12" spans="1:19" x14ac:dyDescent="0.25">
      <c r="B12" s="102">
        <v>7</v>
      </c>
      <c r="C12" s="63">
        <f>Feuil1!C15</f>
        <v>0</v>
      </c>
      <c r="D12" s="63">
        <f>Feuil1!D15</f>
        <v>0</v>
      </c>
      <c r="E12" s="63">
        <f>Feuil1!E15</f>
        <v>0</v>
      </c>
      <c r="F12" s="100"/>
      <c r="G12" s="100"/>
      <c r="H12" s="98"/>
      <c r="I12" s="99"/>
      <c r="J12" s="142"/>
      <c r="K12" s="99"/>
      <c r="L12" s="99"/>
      <c r="M12" s="99"/>
      <c r="N12" s="96"/>
    </row>
    <row r="13" spans="1:19" s="105" customFormat="1" x14ac:dyDescent="0.25">
      <c r="B13" s="102">
        <v>8</v>
      </c>
      <c r="C13" s="63">
        <f>Feuil1!C16</f>
        <v>0</v>
      </c>
      <c r="D13" s="63">
        <f>Feuil1!D16</f>
        <v>0</v>
      </c>
      <c r="E13" s="63">
        <f>Feuil1!E16</f>
        <v>0</v>
      </c>
      <c r="F13" s="106"/>
      <c r="G13" s="106"/>
      <c r="I13" s="99"/>
      <c r="J13" s="99"/>
      <c r="K13" s="99"/>
      <c r="L13" s="99"/>
      <c r="M13" s="99"/>
      <c r="N13" s="96"/>
    </row>
    <row r="14" spans="1:19" x14ac:dyDescent="0.25">
      <c r="B14" s="102">
        <v>9</v>
      </c>
      <c r="C14" s="63">
        <f>Feuil1!C17</f>
        <v>0</v>
      </c>
      <c r="D14" s="63">
        <f>Feuil1!D17</f>
        <v>0</v>
      </c>
      <c r="E14" s="63">
        <f>Feuil1!E17</f>
        <v>0</v>
      </c>
      <c r="F14" s="100"/>
      <c r="G14" s="97"/>
      <c r="H14" s="98"/>
      <c r="I14" s="99"/>
      <c r="J14" s="99"/>
      <c r="K14" s="99"/>
      <c r="L14" s="99"/>
      <c r="M14" s="99"/>
      <c r="N14" s="96"/>
    </row>
    <row r="15" spans="1:19" x14ac:dyDescent="0.25">
      <c r="B15" s="8"/>
      <c r="C15" s="8"/>
      <c r="D15" s="9">
        <f>D8+D9</f>
        <v>0</v>
      </c>
      <c r="E15" s="9" t="e">
        <f>#REF!+#REF!+E6+E7+E8+E9+E11+E13+E14</f>
        <v>#REF!</v>
      </c>
      <c r="F15" s="8"/>
      <c r="G15" s="8"/>
      <c r="I15" s="5"/>
      <c r="K15" s="5"/>
      <c r="L15" s="5"/>
      <c r="N15" s="5"/>
    </row>
    <row r="16" spans="1:19" ht="15.75" x14ac:dyDescent="0.25">
      <c r="B16" s="8"/>
      <c r="C16" s="8"/>
      <c r="D16" s="9"/>
      <c r="E16" s="9"/>
      <c r="F16" s="8"/>
      <c r="G16" s="8"/>
      <c r="I16" s="5"/>
      <c r="K16" s="5"/>
      <c r="L16" s="5"/>
      <c r="N16" s="5"/>
      <c r="P16" s="122"/>
    </row>
    <row r="17" spans="2:14" x14ac:dyDescent="0.25">
      <c r="B17" s="56" t="s">
        <v>104</v>
      </c>
      <c r="C17" s="8" t="e">
        <f>B3</f>
        <v>#DIV/0!</v>
      </c>
      <c r="D17" s="9" t="e">
        <f>SIN(C17)</f>
        <v>#DIV/0!</v>
      </c>
      <c r="E17" s="56" t="s">
        <v>124</v>
      </c>
      <c r="F17" s="8" t="e">
        <f>C3</f>
        <v>#DIV/0!</v>
      </c>
      <c r="G17" s="8"/>
      <c r="H17" s="56" t="s">
        <v>105</v>
      </c>
      <c r="I17" s="8" t="e">
        <f>D3</f>
        <v>#DIV/0!</v>
      </c>
      <c r="K17" s="56" t="s">
        <v>106</v>
      </c>
      <c r="L17" s="8" t="e">
        <f>2*D3</f>
        <v>#DIV/0!</v>
      </c>
    </row>
    <row r="18" spans="2:14" x14ac:dyDescent="0.25">
      <c r="B18" s="31" t="s">
        <v>64</v>
      </c>
      <c r="C18" s="34" t="e">
        <f>$I$3*(TAN(C17/2)-SIN(C17/2))</f>
        <v>#DIV/0!</v>
      </c>
      <c r="D18" s="8"/>
      <c r="E18" s="31" t="s">
        <v>125</v>
      </c>
      <c r="F18" s="34" t="e">
        <f>0*(TAN(F17/2)-SIN(F17/2))</f>
        <v>#DIV/0!</v>
      </c>
      <c r="G18" s="8"/>
      <c r="H18" s="31" t="s">
        <v>69</v>
      </c>
      <c r="I18" s="34" t="e">
        <f>$P$3*(TAN(I17/2)-SIN(I17/2))</f>
        <v>#DIV/0!</v>
      </c>
      <c r="K18" s="31" t="s">
        <v>72</v>
      </c>
      <c r="L18" s="34" t="e">
        <f>$I$3*(TAN(L17/2)-SIN(L17/2))</f>
        <v>#DIV/0!</v>
      </c>
    </row>
    <row r="19" spans="2:14" x14ac:dyDescent="0.25">
      <c r="B19" s="32" t="s">
        <v>65</v>
      </c>
      <c r="C19" s="35" t="e">
        <f>$I$3*SIN(C17/2)</f>
        <v>#DIV/0!</v>
      </c>
      <c r="D19" s="8"/>
      <c r="E19" s="32" t="s">
        <v>126</v>
      </c>
      <c r="F19" s="35" t="e">
        <f>0*SIN(F17/2)</f>
        <v>#DIV/0!</v>
      </c>
      <c r="G19" s="8"/>
      <c r="H19" s="32" t="s">
        <v>68</v>
      </c>
      <c r="I19" s="35" t="e">
        <f>$P$3*SIN(I17/2)</f>
        <v>#DIV/0!</v>
      </c>
      <c r="K19" s="32" t="s">
        <v>73</v>
      </c>
      <c r="L19" s="35" t="e">
        <f>$I$3*SIN(L17/2)</f>
        <v>#DIV/0!</v>
      </c>
    </row>
    <row r="20" spans="2:14" x14ac:dyDescent="0.25">
      <c r="B20" s="31" t="s">
        <v>120</v>
      </c>
      <c r="C20" s="34" t="e">
        <f>J3*(TAN(C17/2)-SIN(C17/2))</f>
        <v>#DIV/0!</v>
      </c>
      <c r="D20" s="77"/>
      <c r="E20" s="75" t="s">
        <v>58</v>
      </c>
      <c r="F20" s="76" t="e">
        <f>H7-F18</f>
        <v>#DIV/0!</v>
      </c>
      <c r="G20" s="77"/>
      <c r="H20" s="75" t="s">
        <v>58</v>
      </c>
      <c r="I20" s="76" t="e">
        <f>K7-I18</f>
        <v>#DIV/0!</v>
      </c>
      <c r="J20" s="78"/>
      <c r="K20" s="75" t="s">
        <v>58</v>
      </c>
      <c r="L20" s="76" t="e">
        <f>N8-L18</f>
        <v>#DIV/0!</v>
      </c>
    </row>
    <row r="21" spans="2:14" x14ac:dyDescent="0.25">
      <c r="B21" s="32" t="s">
        <v>121</v>
      </c>
      <c r="C21" s="35" t="e">
        <f>J3*SIN(C17/2)</f>
        <v>#DIV/0!</v>
      </c>
      <c r="D21" s="77"/>
      <c r="E21" s="75" t="s">
        <v>59</v>
      </c>
      <c r="F21" s="76" t="e">
        <f>H13-F18</f>
        <v>#DIV/0!</v>
      </c>
      <c r="G21" s="77"/>
      <c r="H21" s="75" t="s">
        <v>59</v>
      </c>
      <c r="I21" s="76" t="e">
        <f>K13-I18</f>
        <v>#DIV/0!</v>
      </c>
      <c r="J21" s="78"/>
      <c r="K21" s="75" t="s">
        <v>59</v>
      </c>
      <c r="L21" s="76" t="e">
        <f>N13-L18</f>
        <v>#DIV/0!</v>
      </c>
    </row>
    <row r="22" spans="2:14" x14ac:dyDescent="0.25">
      <c r="B22" s="75" t="s">
        <v>57</v>
      </c>
      <c r="C22" s="76" t="e">
        <f>(((E8+E9+E11)^2+D15^2)^0.5-2*C18)</f>
        <v>#DIV/0!</v>
      </c>
      <c r="D22" s="77"/>
      <c r="E22" s="75" t="s">
        <v>57</v>
      </c>
      <c r="F22" s="76" t="e">
        <f>(((H8+H9+H11)^2+G15^2)^0.5-2*F18)</f>
        <v>#DIV/0!</v>
      </c>
      <c r="G22" s="77"/>
      <c r="H22" s="75" t="s">
        <v>57</v>
      </c>
      <c r="I22" s="76" t="e">
        <f>(((K8+K9+K11)^2+J15^2)^0.5-2*I18)</f>
        <v>#DIV/0!</v>
      </c>
      <c r="J22" s="78"/>
      <c r="K22" s="75" t="s">
        <v>57</v>
      </c>
      <c r="L22" s="76" t="e">
        <f>(((N9+N10+N11)^2+M15^2)^0.5-2*L18)</f>
        <v>#DIV/0!</v>
      </c>
    </row>
    <row r="23" spans="2:14" x14ac:dyDescent="0.25">
      <c r="B23" s="33" t="s">
        <v>122</v>
      </c>
      <c r="C23" s="35" t="e">
        <f>J3*C17</f>
        <v>#DIV/0!</v>
      </c>
      <c r="D23" s="77"/>
      <c r="E23" s="75" t="s">
        <v>60</v>
      </c>
      <c r="F23" s="79" t="e">
        <f>F20-F19</f>
        <v>#DIV/0!</v>
      </c>
      <c r="G23" s="77"/>
      <c r="H23" s="75" t="s">
        <v>60</v>
      </c>
      <c r="I23" s="79" t="e">
        <f>I20-I19</f>
        <v>#DIV/0!</v>
      </c>
      <c r="J23" s="78"/>
      <c r="K23" s="75" t="s">
        <v>60</v>
      </c>
      <c r="L23" s="79" t="e">
        <f>L20-L19</f>
        <v>#DIV/0!</v>
      </c>
    </row>
    <row r="24" spans="2:14" x14ac:dyDescent="0.25">
      <c r="B24" s="33" t="s">
        <v>123</v>
      </c>
      <c r="C24" s="35" t="e">
        <f>J3*(1-SIN(C17)/C17)</f>
        <v>#DIV/0!</v>
      </c>
      <c r="D24" s="77"/>
      <c r="E24" s="75" t="s">
        <v>61</v>
      </c>
      <c r="F24" s="80" t="e">
        <f>F21-F19</f>
        <v>#DIV/0!</v>
      </c>
      <c r="G24" s="77"/>
      <c r="H24" s="75" t="s">
        <v>61</v>
      </c>
      <c r="I24" s="80" t="e">
        <f>I21-I19</f>
        <v>#DIV/0!</v>
      </c>
      <c r="J24" s="78"/>
      <c r="K24" s="75" t="s">
        <v>61</v>
      </c>
      <c r="L24" s="80" t="e">
        <f>L21-L19</f>
        <v>#DIV/0!</v>
      </c>
    </row>
    <row r="25" spans="2:14" x14ac:dyDescent="0.25">
      <c r="B25" s="81" t="s">
        <v>62</v>
      </c>
      <c r="C25" s="79" t="e">
        <f>C22-2*$D$8</f>
        <v>#DIV/0!</v>
      </c>
      <c r="D25" s="77"/>
      <c r="E25" s="81" t="s">
        <v>62</v>
      </c>
      <c r="F25" s="79" t="e">
        <f>F22-2*$D$8</f>
        <v>#DIV/0!</v>
      </c>
      <c r="G25" s="77"/>
      <c r="H25" s="81" t="s">
        <v>62</v>
      </c>
      <c r="I25" s="79" t="e">
        <f>I22-2*$D$8</f>
        <v>#DIV/0!</v>
      </c>
      <c r="J25" s="78"/>
      <c r="K25" s="81" t="s">
        <v>62</v>
      </c>
      <c r="L25" s="79" t="e">
        <f>L22-2*$D$10</f>
        <v>#DIV/0!</v>
      </c>
    </row>
    <row r="26" spans="2:14" x14ac:dyDescent="0.25">
      <c r="B26" s="33" t="s">
        <v>66</v>
      </c>
      <c r="C26" s="35" t="e">
        <f>$I$3*C17</f>
        <v>#DIV/0!</v>
      </c>
      <c r="D26" s="8"/>
      <c r="E26" s="33" t="s">
        <v>127</v>
      </c>
      <c r="F26" s="35" t="e">
        <f>0*F17</f>
        <v>#DIV/0!</v>
      </c>
      <c r="G26" s="8"/>
      <c r="H26" s="33" t="s">
        <v>70</v>
      </c>
      <c r="I26" s="35" t="e">
        <f>$P$3*I17</f>
        <v>#DIV/0!</v>
      </c>
      <c r="K26" s="33" t="s">
        <v>74</v>
      </c>
      <c r="L26" s="35" t="e">
        <f>$I$3*L17</f>
        <v>#DIV/0!</v>
      </c>
    </row>
    <row r="27" spans="2:14" x14ac:dyDescent="0.25">
      <c r="B27" s="33" t="s">
        <v>67</v>
      </c>
      <c r="C27" s="35" t="e">
        <f>$I$3*(1-SIN(C17)/C17)</f>
        <v>#DIV/0!</v>
      </c>
      <c r="D27" s="8"/>
      <c r="E27" s="33" t="s">
        <v>128</v>
      </c>
      <c r="F27" s="35" t="e">
        <f>0*(1-SIN(F17)/F17)</f>
        <v>#DIV/0!</v>
      </c>
      <c r="G27" s="8"/>
      <c r="H27" s="33" t="s">
        <v>71</v>
      </c>
      <c r="I27" s="35" t="e">
        <f>$P$3*(1-SIN(I17)/I17)</f>
        <v>#DIV/0!</v>
      </c>
      <c r="K27" s="33" t="s">
        <v>75</v>
      </c>
      <c r="L27" s="35" t="e">
        <f>$I$3*(1-SIN(L17)/L17)</f>
        <v>#DIV/0!</v>
      </c>
    </row>
    <row r="28" spans="2:14" x14ac:dyDescent="0.25">
      <c r="B28" s="33"/>
      <c r="C28" s="35"/>
      <c r="D28" s="8"/>
      <c r="E28" s="8"/>
      <c r="F28" s="8"/>
      <c r="G28" s="8"/>
    </row>
    <row r="29" spans="2:14" ht="18.75" x14ac:dyDescent="0.3">
      <c r="B29" s="2" t="s">
        <v>14</v>
      </c>
      <c r="C29" s="2" t="s">
        <v>54</v>
      </c>
      <c r="D29" s="2" t="s">
        <v>52</v>
      </c>
      <c r="E29" s="2" t="s">
        <v>53</v>
      </c>
      <c r="F29" s="36"/>
      <c r="G29" s="36"/>
      <c r="H29" s="2" t="s">
        <v>14</v>
      </c>
      <c r="I29" s="13" t="s">
        <v>47</v>
      </c>
      <c r="J29" s="13" t="s">
        <v>45</v>
      </c>
      <c r="K29" s="13" t="s">
        <v>48</v>
      </c>
      <c r="L29" s="13" t="s">
        <v>46</v>
      </c>
      <c r="M29" s="21" t="s">
        <v>8</v>
      </c>
      <c r="N29" s="13" t="s">
        <v>49</v>
      </c>
    </row>
    <row r="30" spans="2:14" x14ac:dyDescent="0.25">
      <c r="B30" s="2">
        <v>1</v>
      </c>
      <c r="C30" s="107" t="e">
        <f>E6-I18-I19</f>
        <v>#DIV/0!</v>
      </c>
      <c r="D30" s="2"/>
      <c r="E30" s="2"/>
      <c r="F30" s="36"/>
      <c r="G30" s="36"/>
      <c r="H30" s="2">
        <v>1</v>
      </c>
      <c r="I30" s="60" t="e">
        <f>C30*$E$3</f>
        <v>#DIV/0!</v>
      </c>
      <c r="J30" s="143">
        <f>D7+D9</f>
        <v>0</v>
      </c>
      <c r="K30" s="3" t="e">
        <f t="shared" ref="K30" si="0">I30*J30</f>
        <v>#DIV/0!</v>
      </c>
      <c r="L30" s="3" t="e">
        <f t="shared" ref="L30:L46" si="1">L$48-J30</f>
        <v>#DIV/0!</v>
      </c>
      <c r="M30" s="57">
        <f>E3</f>
        <v>0</v>
      </c>
      <c r="N30" s="7" t="e">
        <f>I30*M30^2/12+I30*L30^2</f>
        <v>#DIV/0!</v>
      </c>
    </row>
    <row r="31" spans="2:14" x14ac:dyDescent="0.25">
      <c r="B31" s="2">
        <v>2</v>
      </c>
      <c r="C31" s="7" t="e">
        <f>I26</f>
        <v>#DIV/0!</v>
      </c>
      <c r="D31" s="7"/>
      <c r="E31" s="7"/>
      <c r="F31" s="9"/>
      <c r="G31" s="9"/>
      <c r="H31" s="2">
        <v>2</v>
      </c>
      <c r="I31" s="3" t="e">
        <f>C31*$E$3</f>
        <v>#DIV/0!</v>
      </c>
      <c r="J31" s="61" t="e">
        <f>J30-I27</f>
        <v>#DIV/0!</v>
      </c>
      <c r="K31" s="3" t="e">
        <f>I31*J31</f>
        <v>#DIV/0!</v>
      </c>
      <c r="L31" s="3" t="e">
        <f t="shared" si="1"/>
        <v>#DIV/0!</v>
      </c>
      <c r="M31" s="57"/>
      <c r="N31" s="63" t="e">
        <f>E3*($P$3^3*(($I$17+SIN($I$17)*COS($I$17))/2-SIN($I$17)^2/$I$17))+I31*L31^2</f>
        <v>#DIV/0!</v>
      </c>
    </row>
    <row r="32" spans="2:14" x14ac:dyDescent="0.25">
      <c r="B32" s="2">
        <v>3</v>
      </c>
      <c r="C32" s="58" t="e">
        <f>MAX((C7-2*I18-2*I19),0)</f>
        <v>#DIV/0!</v>
      </c>
      <c r="D32" s="7"/>
      <c r="E32" s="7"/>
      <c r="F32" s="9">
        <f>(D32^2+E32^2)^0.5</f>
        <v>0</v>
      </c>
      <c r="G32" s="59" t="s">
        <v>103</v>
      </c>
      <c r="H32" s="2">
        <v>3</v>
      </c>
      <c r="I32" s="60" t="e">
        <f t="shared" ref="I32:I46" si="2">C32*$E$3</f>
        <v>#DIV/0!</v>
      </c>
      <c r="J32" s="62">
        <f>L3+D7/2</f>
        <v>0</v>
      </c>
      <c r="K32" s="3" t="e">
        <f>I32*J32</f>
        <v>#DIV/0!</v>
      </c>
      <c r="L32" s="3" t="e">
        <f>L$48-J32</f>
        <v>#DIV/0!</v>
      </c>
      <c r="M32" s="57" t="e">
        <f>C32*SIN(D3)</f>
        <v>#DIV/0!</v>
      </c>
      <c r="N32" s="7" t="e">
        <f>I32*M32^2/12+I32*L32^2</f>
        <v>#DIV/0!</v>
      </c>
    </row>
    <row r="33" spans="2:16" x14ac:dyDescent="0.25">
      <c r="B33" s="2">
        <v>4</v>
      </c>
      <c r="C33" s="5" t="e">
        <f>I26</f>
        <v>#DIV/0!</v>
      </c>
      <c r="D33" s="7"/>
      <c r="E33" s="7"/>
      <c r="F33" s="9">
        <f>(D33^2+E33^2)^0.5</f>
        <v>0</v>
      </c>
      <c r="G33" s="9"/>
      <c r="H33" s="2">
        <v>4</v>
      </c>
      <c r="I33" s="3" t="e">
        <f t="shared" si="2"/>
        <v>#DIV/0!</v>
      </c>
      <c r="J33" s="62" t="e">
        <f>L3+I27</f>
        <v>#DIV/0!</v>
      </c>
      <c r="K33" s="3" t="e">
        <f t="shared" ref="K33:K46" si="3">I33*J33</f>
        <v>#DIV/0!</v>
      </c>
      <c r="L33" s="3" t="e">
        <f t="shared" si="1"/>
        <v>#DIV/0!</v>
      </c>
      <c r="M33" s="57"/>
      <c r="N33" s="63" t="e">
        <f>E3*$P$3^3*(($I$17+SIN($I$17)*COS($I$17))/2-SIN($I$17)^2/$I$17)+I33*L33^2</f>
        <v>#DIV/0!</v>
      </c>
    </row>
    <row r="34" spans="2:16" x14ac:dyDescent="0.25">
      <c r="B34" s="2">
        <v>5</v>
      </c>
      <c r="C34" s="58" t="e">
        <f>C8-I18-I19-C20-C21</f>
        <v>#DIV/0!</v>
      </c>
      <c r="D34" s="7"/>
      <c r="E34" s="7"/>
      <c r="F34" s="9">
        <f>(D34^2+E34^2)^0.5</f>
        <v>0</v>
      </c>
      <c r="G34" s="9"/>
      <c r="H34" s="2">
        <v>5</v>
      </c>
      <c r="I34" s="60" t="e">
        <f t="shared" si="2"/>
        <v>#DIV/0!</v>
      </c>
      <c r="J34" s="61">
        <f>L3</f>
        <v>0</v>
      </c>
      <c r="K34" s="3" t="e">
        <f t="shared" si="3"/>
        <v>#DIV/0!</v>
      </c>
      <c r="L34" s="3" t="e">
        <f t="shared" si="1"/>
        <v>#DIV/0!</v>
      </c>
      <c r="M34" s="83">
        <f>E3</f>
        <v>0</v>
      </c>
      <c r="N34" s="7" t="e">
        <f>I34*M34^2/12+I34*L34^2</f>
        <v>#DIV/0!</v>
      </c>
    </row>
    <row r="35" spans="2:16" x14ac:dyDescent="0.25">
      <c r="B35" s="2">
        <v>6</v>
      </c>
      <c r="C35" s="7" t="e">
        <f>C23</f>
        <v>#DIV/0!</v>
      </c>
      <c r="D35" s="7"/>
      <c r="E35" s="7"/>
      <c r="F35" s="9">
        <f>(D35^2+E35^2)^0.5</f>
        <v>0</v>
      </c>
      <c r="G35" s="9"/>
      <c r="H35" s="2">
        <v>6</v>
      </c>
      <c r="I35" s="3" t="e">
        <f t="shared" si="2"/>
        <v>#DIV/0!</v>
      </c>
      <c r="J35" s="62" t="e">
        <f>L3-C24</f>
        <v>#DIV/0!</v>
      </c>
      <c r="K35" s="3" t="e">
        <f t="shared" si="3"/>
        <v>#DIV/0!</v>
      </c>
      <c r="L35" s="3" t="e">
        <f t="shared" si="1"/>
        <v>#DIV/0!</v>
      </c>
      <c r="M35" s="57"/>
      <c r="N35" s="63" t="e">
        <f>E3*$J$3^3*(($C$17+SIN($C$17)*COS($C$17))/2-SIN($C$17)^2/$C$17)+I35*L35^2</f>
        <v>#DIV/0!</v>
      </c>
    </row>
    <row r="36" spans="2:16" x14ac:dyDescent="0.25">
      <c r="B36" s="2">
        <v>7</v>
      </c>
      <c r="C36" s="58" t="e">
        <f>C9-C18-C19-C20-C21</f>
        <v>#DIV/0!</v>
      </c>
      <c r="D36" s="7"/>
      <c r="E36" s="7"/>
      <c r="F36" s="9"/>
      <c r="G36" s="9"/>
      <c r="H36" s="2">
        <v>7</v>
      </c>
      <c r="I36" s="60" t="e">
        <f t="shared" si="2"/>
        <v>#DIV/0!</v>
      </c>
      <c r="J36" s="62" t="e">
        <f>M36/2+I3*(1-COS(B3))</f>
        <v>#DIV/0!</v>
      </c>
      <c r="K36" s="3" t="e">
        <f t="shared" si="3"/>
        <v>#DIV/0!</v>
      </c>
      <c r="L36" s="3" t="e">
        <f t="shared" si="1"/>
        <v>#DIV/0!</v>
      </c>
      <c r="M36" s="57" t="e">
        <f>C36*SIN(B3)</f>
        <v>#DIV/0!</v>
      </c>
      <c r="N36" s="7" t="e">
        <f t="shared" ref="N36" si="4">I36*M36^2/12+I36*L36^2</f>
        <v>#DIV/0!</v>
      </c>
    </row>
    <row r="37" spans="2:16" x14ac:dyDescent="0.25">
      <c r="B37" s="2">
        <v>8</v>
      </c>
      <c r="C37" s="7" t="e">
        <f>C26</f>
        <v>#DIV/0!</v>
      </c>
      <c r="D37" s="7">
        <v>0</v>
      </c>
      <c r="E37" s="7"/>
      <c r="F37" s="9"/>
      <c r="G37" s="9"/>
      <c r="H37" s="2">
        <v>8</v>
      </c>
      <c r="I37" s="3" t="e">
        <f t="shared" si="2"/>
        <v>#DIV/0!</v>
      </c>
      <c r="J37" s="82" t="e">
        <f>C27</f>
        <v>#DIV/0!</v>
      </c>
      <c r="K37" s="3" t="e">
        <f t="shared" si="3"/>
        <v>#DIV/0!</v>
      </c>
      <c r="L37" s="3" t="e">
        <f t="shared" si="1"/>
        <v>#DIV/0!</v>
      </c>
      <c r="M37" s="57"/>
      <c r="N37" s="63" t="e">
        <f>E3*$I$3^3*(($C$17+SIN($C$17)*COS($C$17))/2-SIN($C$17)^2/$C$17)+I37*L37^2</f>
        <v>#DIV/0!</v>
      </c>
    </row>
    <row r="38" spans="2:16" x14ac:dyDescent="0.25">
      <c r="B38" s="2">
        <v>9</v>
      </c>
      <c r="C38" s="58" t="e">
        <f>C10-C18-C19-F18-F19</f>
        <v>#DIV/0!</v>
      </c>
      <c r="D38" s="7"/>
      <c r="E38" s="7"/>
      <c r="F38" s="9"/>
      <c r="G38" s="9"/>
      <c r="H38" s="2">
        <v>9</v>
      </c>
      <c r="I38" s="60" t="e">
        <f t="shared" si="2"/>
        <v>#DIV/0!</v>
      </c>
      <c r="J38" s="62">
        <v>0</v>
      </c>
      <c r="K38" s="3" t="e">
        <f t="shared" si="3"/>
        <v>#DIV/0!</v>
      </c>
      <c r="L38" s="3" t="e">
        <f t="shared" si="1"/>
        <v>#DIV/0!</v>
      </c>
      <c r="M38" s="57">
        <f>E3</f>
        <v>0</v>
      </c>
      <c r="N38" s="63" t="e">
        <f>I38*M38^2/12+I38*L38^2</f>
        <v>#DIV/0!</v>
      </c>
    </row>
    <row r="39" spans="2:16" x14ac:dyDescent="0.25">
      <c r="B39" s="2">
        <v>10</v>
      </c>
      <c r="C39" s="86" t="e">
        <f>F26</f>
        <v>#DIV/0!</v>
      </c>
      <c r="D39" s="7"/>
      <c r="E39" s="7"/>
      <c r="F39" s="9"/>
      <c r="G39" s="9"/>
      <c r="H39" s="2">
        <v>10</v>
      </c>
      <c r="I39" s="3" t="e">
        <f t="shared" si="2"/>
        <v>#DIV/0!</v>
      </c>
      <c r="J39" s="62" t="e">
        <f>F27</f>
        <v>#DIV/0!</v>
      </c>
      <c r="K39" s="3" t="e">
        <f t="shared" si="3"/>
        <v>#DIV/0!</v>
      </c>
      <c r="L39" s="3" t="e">
        <f t="shared" si="1"/>
        <v>#DIV/0!</v>
      </c>
      <c r="M39" s="57"/>
      <c r="N39" s="63" t="e">
        <f>$E$3*0^3*(($F$17+SIN($F$17)*COS($F$17))/2-SIN($F$17)^2/$F$17)+I39*L39^2</f>
        <v>#DIV/0!</v>
      </c>
    </row>
    <row r="40" spans="2:16" x14ac:dyDescent="0.25">
      <c r="B40" s="2">
        <v>11</v>
      </c>
      <c r="C40" s="58" t="e">
        <f>C11-2*F18-2*F19</f>
        <v>#DIV/0!</v>
      </c>
      <c r="D40" s="7"/>
      <c r="E40" s="7"/>
      <c r="F40" s="9"/>
      <c r="G40" s="9"/>
      <c r="H40" s="2">
        <v>11</v>
      </c>
      <c r="I40" s="60" t="e">
        <f t="shared" si="2"/>
        <v>#DIV/0!</v>
      </c>
      <c r="J40" s="62">
        <f>D11/2</f>
        <v>0</v>
      </c>
      <c r="K40" s="3" t="e">
        <f>I40*J40</f>
        <v>#DIV/0!</v>
      </c>
      <c r="L40" s="3" t="e">
        <f t="shared" si="1"/>
        <v>#DIV/0!</v>
      </c>
      <c r="M40" s="57" t="e">
        <f>C40</f>
        <v>#DIV/0!</v>
      </c>
      <c r="N40" s="63" t="e">
        <f>I40*M40^2/12+I40*L40^2</f>
        <v>#DIV/0!</v>
      </c>
    </row>
    <row r="41" spans="2:16" x14ac:dyDescent="0.25">
      <c r="B41" s="2">
        <v>12</v>
      </c>
      <c r="C41" s="86" t="e">
        <f>F26</f>
        <v>#DIV/0!</v>
      </c>
      <c r="D41" s="7"/>
      <c r="E41" s="7"/>
      <c r="F41" s="9"/>
      <c r="G41" s="9"/>
      <c r="H41" s="2">
        <v>12</v>
      </c>
      <c r="I41" s="3" t="e">
        <f t="shared" si="2"/>
        <v>#DIV/0!</v>
      </c>
      <c r="J41" s="62" t="e">
        <f>D11-F27</f>
        <v>#DIV/0!</v>
      </c>
      <c r="K41" s="3" t="e">
        <f t="shared" si="3"/>
        <v>#DIV/0!</v>
      </c>
      <c r="L41" s="3" t="e">
        <f t="shared" si="1"/>
        <v>#DIV/0!</v>
      </c>
      <c r="M41" s="57"/>
      <c r="N41" s="63" t="e">
        <f>0*0^3*(($F$17+SIN($F$17)*COS($F$17))/2-SIN($F$17)^2/$F$17)+I41*L41^2</f>
        <v>#DIV/0!</v>
      </c>
    </row>
    <row r="42" spans="2:16" x14ac:dyDescent="0.25">
      <c r="B42" s="2">
        <v>13</v>
      </c>
      <c r="C42" s="58" t="e">
        <f>C12-2*F18-2*F19</f>
        <v>#DIV/0!</v>
      </c>
      <c r="D42" s="7"/>
      <c r="E42" s="7"/>
      <c r="F42" s="9"/>
      <c r="G42" s="9"/>
      <c r="H42" s="2">
        <v>13</v>
      </c>
      <c r="I42" s="60" t="e">
        <f t="shared" si="2"/>
        <v>#DIV/0!</v>
      </c>
      <c r="J42" s="62">
        <f>D11</f>
        <v>0</v>
      </c>
      <c r="K42" s="3" t="e">
        <f t="shared" si="3"/>
        <v>#DIV/0!</v>
      </c>
      <c r="L42" s="3" t="e">
        <f t="shared" si="1"/>
        <v>#DIV/0!</v>
      </c>
      <c r="M42" s="57">
        <f>E3</f>
        <v>0</v>
      </c>
      <c r="N42" s="63" t="e">
        <f>I42*M42^2/12+I42*L42^2</f>
        <v>#DIV/0!</v>
      </c>
    </row>
    <row r="43" spans="2:16" x14ac:dyDescent="0.25">
      <c r="B43" s="2">
        <v>14</v>
      </c>
      <c r="C43" s="86" t="e">
        <f>F26</f>
        <v>#DIV/0!</v>
      </c>
      <c r="D43" s="7"/>
      <c r="E43" s="7"/>
      <c r="F43" s="9"/>
      <c r="G43" s="9"/>
      <c r="H43" s="2">
        <v>14</v>
      </c>
      <c r="I43" s="3" t="e">
        <f t="shared" si="2"/>
        <v>#DIV/0!</v>
      </c>
      <c r="J43" s="62" t="e">
        <f>J41</f>
        <v>#DIV/0!</v>
      </c>
      <c r="K43" s="3" t="e">
        <f t="shared" si="3"/>
        <v>#DIV/0!</v>
      </c>
      <c r="L43" s="3" t="e">
        <f t="shared" si="1"/>
        <v>#DIV/0!</v>
      </c>
      <c r="M43" s="57"/>
      <c r="N43" s="63" t="e">
        <f>0*0^3*(($F$17+SIN($F$17)*COS($F$17))/2-SIN($F$17)^2/$F$17)+I43*L43^2</f>
        <v>#DIV/0!</v>
      </c>
    </row>
    <row r="44" spans="2:16" x14ac:dyDescent="0.25">
      <c r="B44" s="2">
        <v>15</v>
      </c>
      <c r="C44" s="58" t="e">
        <f>C13-2*F18-2*F19</f>
        <v>#DIV/0!</v>
      </c>
      <c r="D44" s="7"/>
      <c r="E44" s="7"/>
      <c r="F44" s="9"/>
      <c r="G44" s="9"/>
      <c r="H44" s="2">
        <v>15</v>
      </c>
      <c r="I44" s="60" t="e">
        <f t="shared" si="2"/>
        <v>#DIV/0!</v>
      </c>
      <c r="J44" s="82">
        <f>J40</f>
        <v>0</v>
      </c>
      <c r="K44" s="3" t="e">
        <f t="shared" si="3"/>
        <v>#DIV/0!</v>
      </c>
      <c r="L44" s="3" t="e">
        <f t="shared" si="1"/>
        <v>#DIV/0!</v>
      </c>
      <c r="M44" s="57" t="e">
        <f>C44</f>
        <v>#DIV/0!</v>
      </c>
      <c r="N44" s="63" t="e">
        <f t="shared" ref="N44" si="5">I44*M44^2/12+I44*L44^2</f>
        <v>#DIV/0!</v>
      </c>
      <c r="P44" t="e">
        <f>K44*O44^2/12+K44*N44^2</f>
        <v>#DIV/0!</v>
      </c>
    </row>
    <row r="45" spans="2:16" x14ac:dyDescent="0.25">
      <c r="B45" s="2">
        <v>16</v>
      </c>
      <c r="C45" s="86" t="e">
        <f>F26</f>
        <v>#DIV/0!</v>
      </c>
      <c r="D45" s="7"/>
      <c r="E45" s="7"/>
      <c r="F45" s="9"/>
      <c r="G45" s="9"/>
      <c r="H45" s="2">
        <v>16</v>
      </c>
      <c r="I45" s="3" t="e">
        <f t="shared" si="2"/>
        <v>#DIV/0!</v>
      </c>
      <c r="J45" s="62" t="e">
        <f>F27</f>
        <v>#DIV/0!</v>
      </c>
      <c r="K45" s="3" t="e">
        <f t="shared" si="3"/>
        <v>#DIV/0!</v>
      </c>
      <c r="L45" s="3" t="e">
        <f t="shared" si="1"/>
        <v>#DIV/0!</v>
      </c>
      <c r="M45" s="57"/>
      <c r="N45" s="63" t="e">
        <f>0*0^3*(($F$17+SIN($F$17)*COS($F$17))/2-SIN($F$17)^2/$F$17)+I45*L45^2</f>
        <v>#DIV/0!</v>
      </c>
    </row>
    <row r="46" spans="2:16" x14ac:dyDescent="0.25">
      <c r="B46" s="2">
        <v>17</v>
      </c>
      <c r="C46" s="58" t="e">
        <f>C14-F18-F19</f>
        <v>#DIV/0!</v>
      </c>
      <c r="D46" s="7"/>
      <c r="E46" s="7"/>
      <c r="F46" s="9"/>
      <c r="G46" s="9"/>
      <c r="H46" s="2">
        <v>17</v>
      </c>
      <c r="I46" s="60" t="e">
        <f t="shared" si="2"/>
        <v>#DIV/0!</v>
      </c>
      <c r="J46" s="61">
        <v>0</v>
      </c>
      <c r="K46" s="3" t="e">
        <f t="shared" si="3"/>
        <v>#DIV/0!</v>
      </c>
      <c r="L46" s="3" t="e">
        <f t="shared" si="1"/>
        <v>#DIV/0!</v>
      </c>
      <c r="M46" s="57">
        <f>E3</f>
        <v>0</v>
      </c>
      <c r="N46" s="63" t="e">
        <f>I46*M46^2/12+I46*L46^2</f>
        <v>#DIV/0!</v>
      </c>
    </row>
    <row r="47" spans="2:16" x14ac:dyDescent="0.25">
      <c r="B47" s="2"/>
      <c r="C47" s="86"/>
      <c r="D47" s="7"/>
      <c r="E47" s="7"/>
      <c r="F47" s="9"/>
      <c r="G47" s="8"/>
      <c r="H47" s="2"/>
      <c r="I47" s="85"/>
      <c r="J47" s="61"/>
      <c r="K47" s="3"/>
      <c r="L47" s="3"/>
      <c r="M47" s="83"/>
      <c r="N47" s="7"/>
    </row>
    <row r="48" spans="2:16" x14ac:dyDescent="0.25">
      <c r="B48" s="8"/>
      <c r="C48" s="5" t="e">
        <f>SUM(C31:C47)</f>
        <v>#DIV/0!</v>
      </c>
      <c r="D48" s="9">
        <f>D33+D34+D35</f>
        <v>0</v>
      </c>
      <c r="E48" s="9" t="e">
        <f>#REF!+#REF!+#REF!+E31+E33+E34+E35+E37+E47</f>
        <v>#REF!</v>
      </c>
      <c r="F48" s="8"/>
      <c r="G48" s="8"/>
      <c r="I48" s="5" t="e">
        <f>SUM(I30:I47)</f>
        <v>#DIV/0!</v>
      </c>
      <c r="K48" s="5" t="e">
        <f>SUM(K30:K47)</f>
        <v>#DIV/0!</v>
      </c>
      <c r="L48" s="64" t="e">
        <f>K48/I48</f>
        <v>#DIV/0!</v>
      </c>
      <c r="N48" s="5" t="e">
        <f>SUM(N30:N47)</f>
        <v>#DIV/0!</v>
      </c>
      <c r="O48" t="s">
        <v>115</v>
      </c>
    </row>
    <row r="49" spans="2:15" x14ac:dyDescent="0.25">
      <c r="B49" s="33"/>
      <c r="C49" s="35" t="e">
        <f>C48*E3</f>
        <v>#DIV/0!</v>
      </c>
      <c r="D49" s="8"/>
      <c r="E49" s="8"/>
      <c r="F49" s="8"/>
      <c r="G49" s="8"/>
      <c r="I49" t="e">
        <f>I48*2/K3*1000</f>
        <v>#DIV/0!</v>
      </c>
      <c r="N49" t="e">
        <f>N48*2/K3*1000</f>
        <v>#DIV/0!</v>
      </c>
      <c r="O49" t="s">
        <v>131</v>
      </c>
    </row>
    <row r="50" spans="2:15" x14ac:dyDescent="0.25">
      <c r="B50" s="33"/>
      <c r="C50" s="35"/>
      <c r="D50" s="8"/>
      <c r="E50" s="8"/>
      <c r="F50" s="8"/>
      <c r="G50" s="8"/>
      <c r="I50" t="e">
        <f>I49/100</f>
        <v>#DIV/0!</v>
      </c>
      <c r="N50" t="e">
        <f>N49/10000</f>
        <v>#DIV/0!</v>
      </c>
      <c r="O50" t="s">
        <v>132</v>
      </c>
    </row>
    <row r="51" spans="2:15" x14ac:dyDescent="0.25">
      <c r="B51" s="33"/>
      <c r="C51" s="35"/>
      <c r="D51" s="8"/>
      <c r="E51" s="8"/>
      <c r="F51" s="8"/>
      <c r="G51" s="8"/>
    </row>
    <row r="52" spans="2:15" x14ac:dyDescent="0.25">
      <c r="B52" s="8"/>
      <c r="C52" s="8"/>
      <c r="D52" s="8"/>
      <c r="E52" s="8"/>
      <c r="F52" s="8"/>
      <c r="G52" s="8"/>
    </row>
    <row r="53" spans="2:15" x14ac:dyDescent="0.25">
      <c r="B53" s="8"/>
      <c r="C53" s="8"/>
      <c r="D53" s="8"/>
      <c r="E53" s="8"/>
      <c r="F53" s="8"/>
      <c r="G53" s="8"/>
    </row>
    <row r="54" spans="2:15" x14ac:dyDescent="0.25">
      <c r="B54" s="8"/>
      <c r="C54" s="8"/>
      <c r="D54" s="8"/>
    </row>
    <row r="55" spans="2:15" x14ac:dyDescent="0.25">
      <c r="B55" s="8"/>
      <c r="C55" s="8"/>
      <c r="D55" s="8"/>
    </row>
    <row r="56" spans="2:15" x14ac:dyDescent="0.25">
      <c r="B56" s="8"/>
      <c r="C56" s="8"/>
      <c r="D56" s="8"/>
    </row>
    <row r="57" spans="2:15" x14ac:dyDescent="0.25">
      <c r="B57" s="8"/>
      <c r="C57" s="8"/>
      <c r="D57" s="8"/>
    </row>
    <row r="58" spans="2:15" x14ac:dyDescent="0.25">
      <c r="B58" s="8"/>
      <c r="C58" s="8"/>
      <c r="D58" s="8"/>
    </row>
    <row r="59" spans="2:15" x14ac:dyDescent="0.25">
      <c r="B59" s="8"/>
      <c r="C59" s="8"/>
      <c r="D59" s="8"/>
    </row>
    <row r="60" spans="2:15" x14ac:dyDescent="0.25">
      <c r="B60" s="8"/>
      <c r="C60" s="8"/>
      <c r="D60" s="8"/>
    </row>
    <row r="61" spans="2:15" x14ac:dyDescent="0.25">
      <c r="B61" s="8"/>
      <c r="C61" s="8"/>
      <c r="D61" s="8"/>
    </row>
    <row r="62" spans="2:15" x14ac:dyDescent="0.25">
      <c r="B62" s="8"/>
      <c r="C62" s="8"/>
      <c r="D62" s="8"/>
    </row>
    <row r="63" spans="2:15" x14ac:dyDescent="0.25">
      <c r="B63" s="8"/>
      <c r="C63" s="8"/>
      <c r="D63" s="8"/>
    </row>
    <row r="64" spans="2:15" x14ac:dyDescent="0.25">
      <c r="B64" s="8"/>
      <c r="C64" s="8"/>
      <c r="D64" s="8"/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2"/>
  <sheetViews>
    <sheetView windowProtection="1" topLeftCell="A9" workbookViewId="0">
      <selection activeCell="J25" sqref="J25"/>
    </sheetView>
  </sheetViews>
  <sheetFormatPr baseColWidth="10" defaultRowHeight="15" x14ac:dyDescent="0.25"/>
  <cols>
    <col min="2" max="2" width="11.42578125" bestFit="1" customWidth="1"/>
  </cols>
  <sheetData>
    <row r="2" spans="1:17" ht="16.5" x14ac:dyDescent="0.3">
      <c r="B2" s="2" t="s">
        <v>0</v>
      </c>
      <c r="C2" s="2" t="s">
        <v>2</v>
      </c>
      <c r="D2" s="2" t="s">
        <v>20</v>
      </c>
      <c r="E2" s="8"/>
      <c r="F2" s="8"/>
      <c r="G2" s="8"/>
      <c r="H2" s="8"/>
      <c r="I2" s="8"/>
      <c r="J2" s="8"/>
      <c r="K2" s="8"/>
    </row>
    <row r="3" spans="1:17" x14ac:dyDescent="0.25">
      <c r="B3" s="2">
        <f>données!E3</f>
        <v>0</v>
      </c>
      <c r="C3" s="7">
        <f>données!H3</f>
        <v>0</v>
      </c>
      <c r="D3" s="6">
        <f>données!G3</f>
        <v>0</v>
      </c>
      <c r="E3" s="8"/>
      <c r="F3" s="8"/>
      <c r="G3" s="8"/>
      <c r="H3" s="8"/>
      <c r="I3" s="8"/>
      <c r="J3" s="8"/>
      <c r="K3" s="8"/>
    </row>
    <row r="4" spans="1:17" x14ac:dyDescent="0.25">
      <c r="B4" s="8"/>
      <c r="C4" s="8"/>
      <c r="D4" s="8"/>
      <c r="E4" s="8"/>
      <c r="F4" s="8"/>
      <c r="G4" s="8"/>
      <c r="H4" s="8"/>
      <c r="I4" s="8"/>
      <c r="J4" s="8"/>
      <c r="K4" s="8"/>
    </row>
    <row r="5" spans="1:17" ht="16.5" x14ac:dyDescent="0.3">
      <c r="B5" s="72" t="s">
        <v>92</v>
      </c>
      <c r="C5" s="72" t="s">
        <v>91</v>
      </c>
      <c r="D5" s="72" t="s">
        <v>85</v>
      </c>
      <c r="E5" s="72" t="s">
        <v>88</v>
      </c>
      <c r="F5" s="72" t="s">
        <v>91</v>
      </c>
      <c r="G5" s="8" t="s">
        <v>110</v>
      </c>
      <c r="H5" s="8"/>
      <c r="I5" s="8"/>
      <c r="J5" s="8"/>
      <c r="K5" s="8"/>
    </row>
    <row r="6" spans="1:17" x14ac:dyDescent="0.25">
      <c r="B6" s="73" t="e">
        <f>0.76*B3*(C3/D3)^0.5</f>
        <v>#DIV/0!</v>
      </c>
      <c r="C6" s="73" t="e">
        <f>B6</f>
        <v>#DIV/0!</v>
      </c>
      <c r="D6" s="73" t="e">
        <f>largeur_eff_ame!C24</f>
        <v>#REF!</v>
      </c>
      <c r="E6" s="72" t="e">
        <f>largeur_eff_ame!G27</f>
        <v>#REF!</v>
      </c>
      <c r="F6" s="72"/>
      <c r="G6" s="8"/>
      <c r="H6" s="8"/>
      <c r="I6" s="8"/>
      <c r="J6" s="8"/>
      <c r="K6" s="8"/>
    </row>
    <row r="7" spans="1:17" x14ac:dyDescent="0.25">
      <c r="B7" s="8"/>
      <c r="C7" s="8"/>
      <c r="D7" s="8"/>
      <c r="E7" s="8"/>
      <c r="F7" s="8"/>
      <c r="G7" s="8"/>
      <c r="H7" s="8"/>
      <c r="I7" s="8"/>
      <c r="J7" s="8"/>
      <c r="K7" s="8"/>
    </row>
    <row r="8" spans="1:17" x14ac:dyDescent="0.25">
      <c r="B8" s="20" t="s">
        <v>9</v>
      </c>
      <c r="C8" s="8"/>
      <c r="D8" s="8"/>
      <c r="E8" s="8"/>
      <c r="F8" s="8"/>
      <c r="G8" s="8"/>
      <c r="H8" s="8"/>
      <c r="I8" s="8"/>
      <c r="J8" s="8"/>
      <c r="K8" s="8"/>
    </row>
    <row r="9" spans="1:17" x14ac:dyDescent="0.25">
      <c r="B9" s="8"/>
      <c r="C9" s="8"/>
      <c r="D9" s="8"/>
      <c r="E9" s="8"/>
      <c r="F9" s="8"/>
      <c r="G9" s="8"/>
      <c r="H9" s="8"/>
      <c r="I9" s="8"/>
      <c r="J9" s="8"/>
      <c r="K9" s="8"/>
    </row>
    <row r="10" spans="1:17" ht="18.75" x14ac:dyDescent="0.3">
      <c r="B10" s="13" t="s">
        <v>5</v>
      </c>
      <c r="C10" s="13" t="s">
        <v>44</v>
      </c>
      <c r="D10" s="13" t="s">
        <v>51</v>
      </c>
      <c r="E10" s="13" t="s">
        <v>47</v>
      </c>
      <c r="F10" s="13" t="s">
        <v>45</v>
      </c>
      <c r="G10" s="13" t="s">
        <v>48</v>
      </c>
      <c r="H10" s="13" t="s">
        <v>46</v>
      </c>
      <c r="I10" s="21" t="s">
        <v>8</v>
      </c>
      <c r="J10" s="13" t="s">
        <v>49</v>
      </c>
      <c r="K10" s="22" t="s">
        <v>12</v>
      </c>
      <c r="M10" s="13" t="s">
        <v>5</v>
      </c>
      <c r="N10" s="21" t="s">
        <v>8</v>
      </c>
      <c r="O10" s="13" t="s">
        <v>49</v>
      </c>
    </row>
    <row r="11" spans="1:17" x14ac:dyDescent="0.25">
      <c r="B11" s="13" t="s">
        <v>146</v>
      </c>
      <c r="C11" s="13">
        <f>données!Q4/2</f>
        <v>0</v>
      </c>
      <c r="D11" s="123" t="e">
        <f>'raidisseur bis (3)'!B$42*$B$3*données!P4</f>
        <v>#DIV/0!</v>
      </c>
      <c r="E11" s="117" t="e">
        <f>C11*D11*'raidisseur bis (3)'!E$42</f>
        <v>#DIV/0!</v>
      </c>
      <c r="F11" s="14">
        <f>données!J30+données!R5</f>
        <v>0</v>
      </c>
      <c r="G11" s="14" t="e">
        <f>E11*F11</f>
        <v>#DIV/0!</v>
      </c>
      <c r="H11" s="7" t="e">
        <f>$H$32-F11</f>
        <v>#DIV/0!</v>
      </c>
      <c r="I11" s="28">
        <f>données!M30</f>
        <v>0</v>
      </c>
      <c r="J11" s="7" t="e">
        <f t="shared" ref="J11" si="0">E11*I11^2/12+E11*H11^2</f>
        <v>#DIV/0!</v>
      </c>
      <c r="K11" s="27"/>
      <c r="M11" s="13"/>
      <c r="N11" s="21"/>
      <c r="O11" s="13"/>
    </row>
    <row r="12" spans="1:17" x14ac:dyDescent="0.25">
      <c r="A12" s="87" t="e">
        <f>C12*B$3</f>
        <v>#DIV/0!</v>
      </c>
      <c r="B12" s="13">
        <v>1</v>
      </c>
      <c r="C12" s="14" t="e">
        <f>données!C30-C11</f>
        <v>#DIV/0!</v>
      </c>
      <c r="D12" s="68" t="e">
        <f>'raidisseur bis (3)'!B$42*$B$3</f>
        <v>#DIV/0!</v>
      </c>
      <c r="E12" s="117" t="e">
        <f>C12*D12*'raidisseur bis (3)'!E$42</f>
        <v>#DIV/0!</v>
      </c>
      <c r="F12" s="14">
        <f>données!J30</f>
        <v>0</v>
      </c>
      <c r="G12" s="14" t="e">
        <f>E12*F12</f>
        <v>#DIV/0!</v>
      </c>
      <c r="H12" s="7" t="e">
        <f t="shared" ref="H12:H31" si="1">$H$32-F12</f>
        <v>#DIV/0!</v>
      </c>
      <c r="I12" s="28">
        <f>données!M30</f>
        <v>0</v>
      </c>
      <c r="J12" s="7" t="e">
        <f t="shared" ref="J12" si="2">E12*I12^2/12+E12*H12^2</f>
        <v>#DIV/0!</v>
      </c>
      <c r="K12" s="27"/>
      <c r="M12" s="13">
        <v>1</v>
      </c>
      <c r="N12" s="3">
        <f>I12</f>
        <v>0</v>
      </c>
      <c r="O12" s="3" t="e">
        <f>J12</f>
        <v>#DIV/0!</v>
      </c>
      <c r="Q12" s="87">
        <v>5978.750489348753</v>
      </c>
    </row>
    <row r="13" spans="1:17" x14ac:dyDescent="0.25">
      <c r="A13" s="87" t="e">
        <f t="shared" ref="A13:A16" si="3">C13*B$3</f>
        <v>#DIV/0!</v>
      </c>
      <c r="B13" s="13">
        <v>2</v>
      </c>
      <c r="C13" s="14" t="e">
        <f>données!C31</f>
        <v>#DIV/0!</v>
      </c>
      <c r="D13" s="68" t="e">
        <f>'raidisseur bis (3)'!B$42*$B$3</f>
        <v>#DIV/0!</v>
      </c>
      <c r="E13" s="117" t="e">
        <f>C13*D13*'raidisseur bis (3)'!E$42</f>
        <v>#DIV/0!</v>
      </c>
      <c r="F13" s="14" t="e">
        <f>données!J31</f>
        <v>#DIV/0!</v>
      </c>
      <c r="G13" s="14" t="e">
        <f t="shared" ref="G13:G31" si="4">E13*F13</f>
        <v>#DIV/0!</v>
      </c>
      <c r="H13" s="7" t="e">
        <f t="shared" si="1"/>
        <v>#DIV/0!</v>
      </c>
      <c r="I13" s="28">
        <f>données!M31</f>
        <v>0</v>
      </c>
      <c r="J13" s="6" t="e">
        <f>D13*(données!$P$3^3*((données!$I$17+SIN(données!$I$17)*COS(données!$I$17))/2-SIN(données!$I$17)^2/données!$I$17))+E13*H13^2</f>
        <v>#DIV/0!</v>
      </c>
      <c r="K13" s="8"/>
      <c r="M13" s="13">
        <v>2</v>
      </c>
      <c r="N13" s="3">
        <f t="shared" ref="N13:O27" si="5">I13</f>
        <v>0</v>
      </c>
      <c r="O13" s="3" t="e">
        <f>J13</f>
        <v>#DIV/0!</v>
      </c>
      <c r="Q13" s="87">
        <v>16731.736187589693</v>
      </c>
    </row>
    <row r="14" spans="1:17" x14ac:dyDescent="0.25">
      <c r="A14" s="87" t="e">
        <f t="shared" si="3"/>
        <v>#DIV/0!</v>
      </c>
      <c r="B14" s="13">
        <v>3</v>
      </c>
      <c r="C14" s="14" t="e">
        <f>données!C32</f>
        <v>#DIV/0!</v>
      </c>
      <c r="D14" s="68" t="e">
        <f>'raidisseur bis (3)'!B$42*$B$3</f>
        <v>#DIV/0!</v>
      </c>
      <c r="E14" s="117" t="e">
        <f>C14*D14*'raidisseur bis (3)'!E$42</f>
        <v>#DIV/0!</v>
      </c>
      <c r="F14" s="14">
        <f>données!J32</f>
        <v>0</v>
      </c>
      <c r="G14" s="14" t="e">
        <f t="shared" si="4"/>
        <v>#DIV/0!</v>
      </c>
      <c r="H14" s="7" t="e">
        <f t="shared" si="1"/>
        <v>#DIV/0!</v>
      </c>
      <c r="I14" s="28" t="e">
        <f>données!M32</f>
        <v>#DIV/0!</v>
      </c>
      <c r="J14" s="7" t="e">
        <f t="shared" ref="J14" si="6">E14*I14^2/12+E14*H14^2</f>
        <v>#DIV/0!</v>
      </c>
      <c r="K14" s="8"/>
      <c r="M14" s="13">
        <v>3</v>
      </c>
      <c r="N14" s="3" t="e">
        <f t="shared" si="5"/>
        <v>#DIV/0!</v>
      </c>
      <c r="O14" s="3" t="e">
        <f t="shared" si="5"/>
        <v>#DIV/0!</v>
      </c>
      <c r="Q14" s="87">
        <v>16549.57113081171</v>
      </c>
    </row>
    <row r="15" spans="1:17" x14ac:dyDescent="0.25">
      <c r="A15" s="87" t="e">
        <f t="shared" si="3"/>
        <v>#DIV/0!</v>
      </c>
      <c r="B15" s="13">
        <v>4</v>
      </c>
      <c r="C15" s="14" t="e">
        <f>données!C33</f>
        <v>#DIV/0!</v>
      </c>
      <c r="D15" s="68" t="e">
        <f>'raidisseur bis (3)'!B$42*$B$3</f>
        <v>#DIV/0!</v>
      </c>
      <c r="E15" s="117" t="e">
        <f>C15*D15*'raidisseur bis (3)'!E$42</f>
        <v>#DIV/0!</v>
      </c>
      <c r="F15" s="14" t="e">
        <f>données!J33</f>
        <v>#DIV/0!</v>
      </c>
      <c r="G15" s="14" t="e">
        <f t="shared" si="4"/>
        <v>#DIV/0!</v>
      </c>
      <c r="H15" s="7" t="e">
        <f t="shared" si="1"/>
        <v>#DIV/0!</v>
      </c>
      <c r="I15" s="28">
        <f>données!M33</f>
        <v>0</v>
      </c>
      <c r="J15" s="6" t="e">
        <f>D15*(données!$P$3^3*((données!$I$17+SIN(données!$I$17)*COS(données!$I$17))/2-SIN(données!$I$17)^2/données!$I$17))+E15*H15^2</f>
        <v>#DIV/0!</v>
      </c>
      <c r="K15" s="8"/>
      <c r="M15" s="13"/>
      <c r="N15" s="3"/>
      <c r="O15" s="3"/>
      <c r="Q15" s="87">
        <v>10149.948495318249</v>
      </c>
    </row>
    <row r="16" spans="1:17" x14ac:dyDescent="0.25">
      <c r="A16" s="87" t="e">
        <f t="shared" si="3"/>
        <v>#DIV/0!</v>
      </c>
      <c r="B16" s="13">
        <v>51</v>
      </c>
      <c r="C16" s="14" t="e">
        <f>'largeur_eff_semelle bis (3)'!O5-données!I19</f>
        <v>#DIV/0!</v>
      </c>
      <c r="D16" s="68" t="e">
        <f>'raidisseur bis (3)'!B$42*$B$3</f>
        <v>#DIV/0!</v>
      </c>
      <c r="E16" s="117" t="e">
        <f>C16*D16*'raidisseur bis (3)'!E$42</f>
        <v>#DIV/0!</v>
      </c>
      <c r="F16" s="14">
        <f>données!J34</f>
        <v>0</v>
      </c>
      <c r="G16" s="14" t="e">
        <f t="shared" si="4"/>
        <v>#DIV/0!</v>
      </c>
      <c r="H16" s="7" t="e">
        <f t="shared" si="1"/>
        <v>#DIV/0!</v>
      </c>
      <c r="I16" s="28">
        <f>données!M34</f>
        <v>0</v>
      </c>
      <c r="J16" s="7" t="e">
        <f t="shared" ref="J16:J17" si="7">E16*I16^2/12+E16*H16^2</f>
        <v>#DIV/0!</v>
      </c>
      <c r="K16" s="8"/>
      <c r="M16" s="13">
        <v>4</v>
      </c>
      <c r="N16" s="3">
        <f t="shared" si="5"/>
        <v>0</v>
      </c>
      <c r="O16" s="3" t="e">
        <f t="shared" si="5"/>
        <v>#DIV/0!</v>
      </c>
      <c r="Q16" s="87">
        <v>44316.90262521273</v>
      </c>
    </row>
    <row r="17" spans="1:17" x14ac:dyDescent="0.25">
      <c r="A17" s="87"/>
      <c r="B17" s="13">
        <v>52</v>
      </c>
      <c r="C17" s="117" t="e">
        <f>('largeur_eff_semelle bis (3)'!O10-données!C21)</f>
        <v>#DIV/0!</v>
      </c>
      <c r="D17" s="23">
        <f>$B$3</f>
        <v>0</v>
      </c>
      <c r="E17" s="14" t="e">
        <f t="shared" ref="E17:E31" si="8">C17*D17</f>
        <v>#DIV/0!</v>
      </c>
      <c r="F17" s="14">
        <f>données!J34</f>
        <v>0</v>
      </c>
      <c r="G17" s="14" t="e">
        <f t="shared" si="4"/>
        <v>#DIV/0!</v>
      </c>
      <c r="H17" s="7" t="e">
        <f t="shared" si="1"/>
        <v>#DIV/0!</v>
      </c>
      <c r="I17" s="28">
        <f>données!M34</f>
        <v>0</v>
      </c>
      <c r="J17" s="7" t="e">
        <f t="shared" si="7"/>
        <v>#DIV/0!</v>
      </c>
      <c r="K17" s="8"/>
      <c r="M17" s="13">
        <v>5</v>
      </c>
      <c r="N17" s="3">
        <f t="shared" si="5"/>
        <v>0</v>
      </c>
      <c r="O17" s="3" t="e">
        <f t="shared" si="5"/>
        <v>#DIV/0!</v>
      </c>
      <c r="Q17" s="87">
        <v>33894.82308569317</v>
      </c>
    </row>
    <row r="18" spans="1:17" x14ac:dyDescent="0.25">
      <c r="A18" s="87"/>
      <c r="B18" s="13">
        <v>6</v>
      </c>
      <c r="C18" s="14" t="e">
        <f>données!C35</f>
        <v>#DIV/0!</v>
      </c>
      <c r="D18" s="23">
        <f t="shared" ref="D18" si="9">$B$3</f>
        <v>0</v>
      </c>
      <c r="E18" s="14" t="e">
        <f t="shared" si="8"/>
        <v>#DIV/0!</v>
      </c>
      <c r="F18" s="14" t="e">
        <f>données!J35</f>
        <v>#DIV/0!</v>
      </c>
      <c r="G18" s="14" t="e">
        <f t="shared" si="4"/>
        <v>#DIV/0!</v>
      </c>
      <c r="H18" s="7" t="e">
        <f t="shared" si="1"/>
        <v>#DIV/0!</v>
      </c>
      <c r="I18" s="28">
        <f>données!M35</f>
        <v>0</v>
      </c>
      <c r="J18" s="6" t="e">
        <f>D18*données!J$3^3*((données!B$3+SIN(données!B$3)*COS(données!B$3))/2-SIN(données!B$3)^2/données!B$3)+E18*H18^2</f>
        <v>#DIV/0!</v>
      </c>
      <c r="K18" s="8"/>
      <c r="M18" s="13">
        <v>6</v>
      </c>
      <c r="N18" s="3">
        <f t="shared" si="5"/>
        <v>0</v>
      </c>
      <c r="O18" s="3" t="e">
        <f t="shared" si="5"/>
        <v>#DIV/0!</v>
      </c>
      <c r="Q18" s="87">
        <v>22335.374897470152</v>
      </c>
    </row>
    <row r="19" spans="1:17" x14ac:dyDescent="0.25">
      <c r="A19" s="87"/>
      <c r="B19" s="13">
        <v>7</v>
      </c>
      <c r="C19" s="14" t="e">
        <f>données!C36</f>
        <v>#DIV/0!</v>
      </c>
      <c r="D19" s="115">
        <f>$B$3</f>
        <v>0</v>
      </c>
      <c r="E19" s="14" t="e">
        <f t="shared" si="8"/>
        <v>#DIV/0!</v>
      </c>
      <c r="F19" s="14" t="e">
        <f>données!J36</f>
        <v>#DIV/0!</v>
      </c>
      <c r="G19" s="14" t="e">
        <f t="shared" si="4"/>
        <v>#DIV/0!</v>
      </c>
      <c r="H19" s="7" t="e">
        <f t="shared" si="1"/>
        <v>#DIV/0!</v>
      </c>
      <c r="I19" s="28" t="e">
        <f>données!M36</f>
        <v>#DIV/0!</v>
      </c>
      <c r="J19" s="7" t="e">
        <f>E19*I19^2/12+E19*H19^2</f>
        <v>#DIV/0!</v>
      </c>
      <c r="K19" s="8"/>
      <c r="M19" s="13"/>
      <c r="N19" s="3"/>
      <c r="O19" s="3"/>
      <c r="Q19" s="87"/>
    </row>
    <row r="20" spans="1:17" x14ac:dyDescent="0.25">
      <c r="A20" s="87"/>
      <c r="B20" s="13" t="s">
        <v>150</v>
      </c>
      <c r="C20" s="14">
        <f>-données!$Q$3</f>
        <v>-14.125</v>
      </c>
      <c r="D20" s="90">
        <f t="shared" ref="D20" si="10">$B$3</f>
        <v>0</v>
      </c>
      <c r="E20" s="14">
        <f t="shared" si="8"/>
        <v>0</v>
      </c>
      <c r="F20" s="14" t="e">
        <f>résistance_section!$F$20</f>
        <v>#DIV/0!</v>
      </c>
      <c r="G20" s="14" t="e">
        <f t="shared" si="4"/>
        <v>#DIV/0!</v>
      </c>
      <c r="H20" s="7" t="e">
        <f>$H$32-F20</f>
        <v>#DIV/0!</v>
      </c>
      <c r="I20" s="124" t="e">
        <f>-C20*SIN(données!$B$3)</f>
        <v>#DIV/0!</v>
      </c>
      <c r="J20" s="7" t="e">
        <f t="shared" ref="J20:J21" si="11">E20*I20^2/12+E20*H20^2</f>
        <v>#DIV/0!</v>
      </c>
      <c r="K20" s="8"/>
      <c r="M20" s="13"/>
      <c r="N20" s="3"/>
      <c r="O20" s="3"/>
      <c r="Q20" s="87"/>
    </row>
    <row r="21" spans="1:17" x14ac:dyDescent="0.25">
      <c r="A21" s="87"/>
      <c r="B21" s="13" t="s">
        <v>150</v>
      </c>
      <c r="C21" s="14">
        <f>données!$Q$3</f>
        <v>14.125</v>
      </c>
      <c r="D21" s="90">
        <f>$B$3*données!P4</f>
        <v>0</v>
      </c>
      <c r="E21" s="14">
        <f t="shared" si="8"/>
        <v>0</v>
      </c>
      <c r="F21" s="14" t="e">
        <f>résistance_section!$F$21</f>
        <v>#DIV/0!</v>
      </c>
      <c r="G21" s="14" t="e">
        <f t="shared" si="4"/>
        <v>#DIV/0!</v>
      </c>
      <c r="H21" s="7" t="e">
        <f t="shared" ref="H21" si="12">$H$32-F21</f>
        <v>#DIV/0!</v>
      </c>
      <c r="I21" s="124" t="e">
        <f>C21*SIN(données!$B$3)</f>
        <v>#DIV/0!</v>
      </c>
      <c r="J21" s="7" t="e">
        <f t="shared" si="11"/>
        <v>#DIV/0!</v>
      </c>
      <c r="K21" s="8"/>
      <c r="M21" s="13"/>
      <c r="N21" s="3"/>
      <c r="O21" s="3"/>
      <c r="Q21" s="87"/>
    </row>
    <row r="22" spans="1:17" x14ac:dyDescent="0.25">
      <c r="A22" s="87"/>
      <c r="B22" s="13">
        <v>8</v>
      </c>
      <c r="C22" s="14" t="e">
        <f>données!C37</f>
        <v>#DIV/0!</v>
      </c>
      <c r="D22" s="23">
        <f>$B$3</f>
        <v>0</v>
      </c>
      <c r="E22" s="14" t="e">
        <f t="shared" si="8"/>
        <v>#DIV/0!</v>
      </c>
      <c r="F22" s="14" t="e">
        <f>données!J37</f>
        <v>#DIV/0!</v>
      </c>
      <c r="G22" s="14" t="e">
        <f t="shared" si="4"/>
        <v>#DIV/0!</v>
      </c>
      <c r="H22" s="7" t="e">
        <f t="shared" si="1"/>
        <v>#DIV/0!</v>
      </c>
      <c r="I22" s="28">
        <f>données!M37</f>
        <v>0</v>
      </c>
      <c r="J22" s="6" t="e">
        <f>D22*données!I$3^3*((données!B$3+SIN(données!B$3)*COS(données!B$3))/2-SIN(données!B$3)^2/données!B$3)+E22*H22^2</f>
        <v>#DIV/0!</v>
      </c>
      <c r="K22" s="8"/>
      <c r="M22" s="13"/>
      <c r="N22" s="3"/>
      <c r="O22" s="3"/>
      <c r="Q22" s="87">
        <v>14325.609230741165</v>
      </c>
    </row>
    <row r="23" spans="1:17" x14ac:dyDescent="0.25">
      <c r="A23" s="87"/>
      <c r="B23" s="13">
        <v>9</v>
      </c>
      <c r="C23" s="14" t="e">
        <f>données!C38</f>
        <v>#DIV/0!</v>
      </c>
      <c r="D23" s="23">
        <f>$B$3</f>
        <v>0</v>
      </c>
      <c r="E23" s="14" t="e">
        <f>C23*D23</f>
        <v>#DIV/0!</v>
      </c>
      <c r="F23" s="14">
        <f>données!J38</f>
        <v>0</v>
      </c>
      <c r="G23" s="14" t="e">
        <f t="shared" si="4"/>
        <v>#DIV/0!</v>
      </c>
      <c r="H23" s="7" t="e">
        <f t="shared" si="1"/>
        <v>#DIV/0!</v>
      </c>
      <c r="I23" s="28">
        <f>données!M38</f>
        <v>0</v>
      </c>
      <c r="J23" s="7" t="e">
        <f>E23*I23^2/12+E23*H23^2</f>
        <v>#DIV/0!</v>
      </c>
      <c r="K23" s="8"/>
      <c r="M23" s="13">
        <v>8</v>
      </c>
      <c r="N23" s="3">
        <f t="shared" si="5"/>
        <v>0</v>
      </c>
      <c r="O23" s="3" t="e">
        <f t="shared" si="5"/>
        <v>#DIV/0!</v>
      </c>
      <c r="Q23" s="87">
        <v>5975.1153913010348</v>
      </c>
    </row>
    <row r="24" spans="1:17" x14ac:dyDescent="0.25">
      <c r="A24" s="87"/>
      <c r="B24" s="13">
        <v>10</v>
      </c>
      <c r="C24" s="14" t="e">
        <f>données!C39</f>
        <v>#DIV/0!</v>
      </c>
      <c r="D24" s="23">
        <f>$B$3</f>
        <v>0</v>
      </c>
      <c r="E24" s="14" t="e">
        <f t="shared" si="8"/>
        <v>#DIV/0!</v>
      </c>
      <c r="F24" s="14" t="e">
        <f>données!J39</f>
        <v>#DIV/0!</v>
      </c>
      <c r="G24" s="14" t="e">
        <f t="shared" si="4"/>
        <v>#DIV/0!</v>
      </c>
      <c r="H24" s="7" t="e">
        <f t="shared" si="1"/>
        <v>#DIV/0!</v>
      </c>
      <c r="I24" s="28">
        <f>données!M39</f>
        <v>0</v>
      </c>
      <c r="J24" s="6" t="e">
        <f>D24*0^3*((données!C$3+SIN(données!C$3)*COS(données!C$3))/2-SIN(données!C$3)^2/données!C$3)+E24*H24^2</f>
        <v>#DIV/0!</v>
      </c>
      <c r="K24" s="8"/>
      <c r="M24" s="13">
        <v>9</v>
      </c>
      <c r="N24" s="3">
        <f t="shared" si="5"/>
        <v>0</v>
      </c>
      <c r="O24" s="3" t="e">
        <f t="shared" si="5"/>
        <v>#DIV/0!</v>
      </c>
      <c r="Q24" s="87">
        <v>8624.8621577395097</v>
      </c>
    </row>
    <row r="25" spans="1:17" x14ac:dyDescent="0.25">
      <c r="A25" s="5"/>
      <c r="B25" s="13">
        <v>11</v>
      </c>
      <c r="C25" s="14" t="e">
        <f>données!C40</f>
        <v>#DIV/0!</v>
      </c>
      <c r="D25" s="23">
        <f t="shared" ref="D25:D31" si="13">$B$3</f>
        <v>0</v>
      </c>
      <c r="E25" s="14" t="e">
        <f t="shared" si="8"/>
        <v>#DIV/0!</v>
      </c>
      <c r="F25" s="14">
        <f>données!J40</f>
        <v>0</v>
      </c>
      <c r="G25" s="14" t="e">
        <f t="shared" si="4"/>
        <v>#DIV/0!</v>
      </c>
      <c r="H25" s="7" t="e">
        <f t="shared" si="1"/>
        <v>#DIV/0!</v>
      </c>
      <c r="I25" s="28" t="e">
        <f>données!M40</f>
        <v>#DIV/0!</v>
      </c>
      <c r="J25" s="7" t="e">
        <f>E25*I25^2/12+E25*H25^2</f>
        <v>#DIV/0!</v>
      </c>
      <c r="K25" s="8"/>
      <c r="M25" s="13">
        <v>10</v>
      </c>
      <c r="N25" s="3" t="e">
        <f t="shared" si="5"/>
        <v>#DIV/0!</v>
      </c>
      <c r="O25" s="3" t="e">
        <f t="shared" si="5"/>
        <v>#DIV/0!</v>
      </c>
      <c r="Q25" s="5">
        <v>2489.4181828516225</v>
      </c>
    </row>
    <row r="26" spans="1:17" x14ac:dyDescent="0.25">
      <c r="A26" s="5"/>
      <c r="B26" s="13">
        <v>12</v>
      </c>
      <c r="C26" s="14" t="e">
        <f>données!C41</f>
        <v>#DIV/0!</v>
      </c>
      <c r="D26" s="23">
        <f t="shared" si="13"/>
        <v>0</v>
      </c>
      <c r="E26" s="14" t="e">
        <f t="shared" si="8"/>
        <v>#DIV/0!</v>
      </c>
      <c r="F26" s="14" t="e">
        <f>données!J41</f>
        <v>#DIV/0!</v>
      </c>
      <c r="G26" s="14" t="e">
        <f t="shared" si="4"/>
        <v>#DIV/0!</v>
      </c>
      <c r="H26" s="7" t="e">
        <f t="shared" si="1"/>
        <v>#DIV/0!</v>
      </c>
      <c r="I26" s="28">
        <f>données!M41</f>
        <v>0</v>
      </c>
      <c r="J26" s="6" t="e">
        <f>D26*0^3*((données!C$3+SIN(données!C$3)*COS(données!C$3))/2-SIN(données!C$3)^2/données!C$3)+E26*H26^2</f>
        <v>#DIV/0!</v>
      </c>
      <c r="K26" s="8"/>
      <c r="M26" s="13">
        <v>11</v>
      </c>
      <c r="N26" s="3">
        <f t="shared" si="5"/>
        <v>0</v>
      </c>
      <c r="O26" s="3" t="e">
        <f t="shared" si="5"/>
        <v>#DIV/0!</v>
      </c>
      <c r="Q26" s="5">
        <v>6653.0132462047468</v>
      </c>
    </row>
    <row r="27" spans="1:17" x14ac:dyDescent="0.25">
      <c r="A27" s="5"/>
      <c r="B27" s="13">
        <v>13</v>
      </c>
      <c r="C27" s="14" t="e">
        <f>données!C42</f>
        <v>#DIV/0!</v>
      </c>
      <c r="D27" s="23">
        <f t="shared" si="13"/>
        <v>0</v>
      </c>
      <c r="E27" s="14" t="e">
        <f t="shared" si="8"/>
        <v>#DIV/0!</v>
      </c>
      <c r="F27" s="14">
        <f>données!J42</f>
        <v>0</v>
      </c>
      <c r="G27" s="14" t="e">
        <f t="shared" si="4"/>
        <v>#DIV/0!</v>
      </c>
      <c r="H27" s="7" t="e">
        <f t="shared" si="1"/>
        <v>#DIV/0!</v>
      </c>
      <c r="I27" s="28">
        <f>données!M42</f>
        <v>0</v>
      </c>
      <c r="J27" s="7" t="e">
        <f t="shared" ref="J27:J31" si="14">E27*I27^2/12+E27*H27^2</f>
        <v>#DIV/0!</v>
      </c>
      <c r="K27" s="8"/>
      <c r="M27" s="13">
        <v>12</v>
      </c>
      <c r="N27" s="3">
        <f t="shared" si="5"/>
        <v>0</v>
      </c>
      <c r="O27" s="3" t="e">
        <f t="shared" si="5"/>
        <v>#DIV/0!</v>
      </c>
      <c r="Q27" s="5">
        <v>2489.4181828516225</v>
      </c>
    </row>
    <row r="28" spans="1:17" x14ac:dyDescent="0.25">
      <c r="A28" s="5"/>
      <c r="B28" s="13">
        <v>14</v>
      </c>
      <c r="C28" s="14" t="e">
        <f>données!C43</f>
        <v>#DIV/0!</v>
      </c>
      <c r="D28" s="23">
        <f t="shared" si="13"/>
        <v>0</v>
      </c>
      <c r="E28" s="14" t="e">
        <f t="shared" si="8"/>
        <v>#DIV/0!</v>
      </c>
      <c r="F28" s="14" t="e">
        <f>données!J43</f>
        <v>#DIV/0!</v>
      </c>
      <c r="G28" s="14" t="e">
        <f t="shared" si="4"/>
        <v>#DIV/0!</v>
      </c>
      <c r="H28" s="7" t="e">
        <f t="shared" si="1"/>
        <v>#DIV/0!</v>
      </c>
      <c r="I28" s="28">
        <f>données!M43</f>
        <v>0</v>
      </c>
      <c r="J28" s="6" t="e">
        <f>D28*0^3*((données!C$3+SIN(données!C$3)*COS(données!C$3))/2-SIN(données!C$3)^2/données!C$3)+E28*H28^2</f>
        <v>#DIV/0!</v>
      </c>
      <c r="K28" s="8"/>
      <c r="M28" s="13"/>
      <c r="N28" s="3"/>
      <c r="O28" s="3"/>
      <c r="Q28" s="5">
        <v>8624.8621577395097</v>
      </c>
    </row>
    <row r="29" spans="1:17" x14ac:dyDescent="0.25">
      <c r="B29" s="13">
        <v>15</v>
      </c>
      <c r="C29" s="14" t="e">
        <f>données!C44</f>
        <v>#DIV/0!</v>
      </c>
      <c r="D29" s="23">
        <f t="shared" si="13"/>
        <v>0</v>
      </c>
      <c r="E29" s="14" t="e">
        <f t="shared" si="8"/>
        <v>#DIV/0!</v>
      </c>
      <c r="F29" s="14">
        <f>données!J44</f>
        <v>0</v>
      </c>
      <c r="G29" s="14" t="e">
        <f t="shared" si="4"/>
        <v>#DIV/0!</v>
      </c>
      <c r="H29" s="7" t="e">
        <f t="shared" si="1"/>
        <v>#DIV/0!</v>
      </c>
      <c r="I29" s="28" t="e">
        <f>données!M44</f>
        <v>#DIV/0!</v>
      </c>
      <c r="J29" s="7" t="e">
        <f t="shared" si="14"/>
        <v>#DIV/0!</v>
      </c>
      <c r="K29" s="8"/>
      <c r="M29" s="13"/>
      <c r="N29" s="3"/>
      <c r="O29" s="3"/>
      <c r="Q29" s="5">
        <v>5975.1153913010348</v>
      </c>
    </row>
    <row r="30" spans="1:17" x14ac:dyDescent="0.25">
      <c r="B30" s="13">
        <v>16</v>
      </c>
      <c r="C30" s="14" t="e">
        <f>données!C45</f>
        <v>#DIV/0!</v>
      </c>
      <c r="D30" s="23">
        <f t="shared" si="13"/>
        <v>0</v>
      </c>
      <c r="E30" s="14" t="e">
        <f t="shared" si="8"/>
        <v>#DIV/0!</v>
      </c>
      <c r="F30" s="14" t="e">
        <f>données!J45</f>
        <v>#DIV/0!</v>
      </c>
      <c r="G30" s="14" t="e">
        <f t="shared" si="4"/>
        <v>#DIV/0!</v>
      </c>
      <c r="H30" s="7" t="e">
        <f t="shared" si="1"/>
        <v>#DIV/0!</v>
      </c>
      <c r="I30" s="28">
        <f>données!M45</f>
        <v>0</v>
      </c>
      <c r="J30" s="6" t="e">
        <f>D30*0^3*((données!C$3+SIN(données!C$3)*COS(données!C$3))/2-SIN(données!C$3)^2/données!C$3)+E30*H30^2</f>
        <v>#DIV/0!</v>
      </c>
      <c r="K30" s="8"/>
      <c r="M30" s="13"/>
      <c r="N30" s="3"/>
      <c r="O30" s="3"/>
      <c r="Q30" s="5">
        <v>29948.196285118844</v>
      </c>
    </row>
    <row r="31" spans="1:17" x14ac:dyDescent="0.25">
      <c r="B31" s="13">
        <v>17</v>
      </c>
      <c r="C31" s="14" t="e">
        <f>données!C46</f>
        <v>#DIV/0!</v>
      </c>
      <c r="D31" s="23">
        <f t="shared" si="13"/>
        <v>0</v>
      </c>
      <c r="E31" s="14" t="e">
        <f t="shared" si="8"/>
        <v>#DIV/0!</v>
      </c>
      <c r="F31" s="14">
        <f>données!J46</f>
        <v>0</v>
      </c>
      <c r="G31" s="14" t="e">
        <f t="shared" si="4"/>
        <v>#DIV/0!</v>
      </c>
      <c r="H31" s="7" t="e">
        <f t="shared" si="1"/>
        <v>#DIV/0!</v>
      </c>
      <c r="I31" s="28">
        <f>données!M46</f>
        <v>0</v>
      </c>
      <c r="J31" s="7" t="e">
        <f t="shared" si="14"/>
        <v>#DIV/0!</v>
      </c>
      <c r="K31" s="8"/>
      <c r="M31" s="13"/>
      <c r="N31" s="3"/>
      <c r="O31" s="3"/>
    </row>
    <row r="32" spans="1:17" x14ac:dyDescent="0.25">
      <c r="B32" s="13" t="s">
        <v>6</v>
      </c>
      <c r="C32" s="8"/>
      <c r="D32" s="8"/>
      <c r="E32" s="24" t="e">
        <f>SUM(E11:E31)</f>
        <v>#DIV/0!</v>
      </c>
      <c r="F32" s="8"/>
      <c r="G32" s="24" t="e">
        <f>SUM(G11:G31)</f>
        <v>#DIV/0!</v>
      </c>
      <c r="H32" s="120" t="e">
        <f>G32/E32</f>
        <v>#DIV/0!</v>
      </c>
      <c r="I32" s="8"/>
      <c r="J32" s="12" t="e">
        <f>SUM(J11:J31)</f>
        <v>#DIV/0!</v>
      </c>
      <c r="K32" s="8" t="s">
        <v>93</v>
      </c>
      <c r="M32" s="13" t="s">
        <v>6</v>
      </c>
      <c r="N32" s="1"/>
      <c r="O32" s="3" t="e">
        <f t="shared" ref="O32:O33" si="15">J32</f>
        <v>#DIV/0!</v>
      </c>
    </row>
    <row r="33" spans="2:15" x14ac:dyDescent="0.25">
      <c r="B33" s="8"/>
      <c r="C33" s="8"/>
      <c r="D33" s="8"/>
      <c r="E33" s="8"/>
      <c r="F33" s="8"/>
      <c r="G33" s="8"/>
      <c r="H33" s="9" t="e">
        <f>données!L3-H32</f>
        <v>#DIV/0!</v>
      </c>
      <c r="I33" s="8"/>
      <c r="J33" s="8" t="e">
        <f>J32*2</f>
        <v>#DIV/0!</v>
      </c>
      <c r="K33" s="8" t="s">
        <v>95</v>
      </c>
      <c r="O33" s="30" t="e">
        <f t="shared" si="15"/>
        <v>#DIV/0!</v>
      </c>
    </row>
    <row r="34" spans="2:15" x14ac:dyDescent="0.25">
      <c r="B34" s="8" t="s">
        <v>55</v>
      </c>
      <c r="C34" s="8" t="e">
        <f>J32/MAX(H32,H33)</f>
        <v>#DIV/0!</v>
      </c>
      <c r="D34" s="8" t="s">
        <v>93</v>
      </c>
      <c r="E34" s="8"/>
      <c r="F34" s="8"/>
      <c r="G34" s="8"/>
      <c r="H34" s="8"/>
      <c r="I34" s="8"/>
      <c r="J34" s="8" t="e">
        <f>J33/données!K3</f>
        <v>#DIV/0!</v>
      </c>
      <c r="K34" s="8" t="s">
        <v>130</v>
      </c>
    </row>
    <row r="35" spans="2:15" x14ac:dyDescent="0.25">
      <c r="B35" s="8" t="s">
        <v>55</v>
      </c>
      <c r="C35" s="8" t="e">
        <f>2*C34</f>
        <v>#DIV/0!</v>
      </c>
      <c r="D35" s="8" t="s">
        <v>95</v>
      </c>
      <c r="E35" s="8"/>
      <c r="F35" s="8"/>
      <c r="G35" s="8"/>
      <c r="H35" s="8"/>
      <c r="I35" s="8"/>
      <c r="J35" s="8"/>
      <c r="K35" s="8"/>
    </row>
    <row r="36" spans="2:15" x14ac:dyDescent="0.25">
      <c r="B36" s="8" t="s">
        <v>55</v>
      </c>
      <c r="C36" s="8" t="e">
        <f>C35/données!K3</f>
        <v>#DIV/0!</v>
      </c>
      <c r="D36" s="8" t="s">
        <v>96</v>
      </c>
      <c r="E36" s="8"/>
      <c r="F36" s="8"/>
      <c r="G36" s="8"/>
      <c r="H36" s="8"/>
      <c r="I36" s="8"/>
      <c r="J36" s="8"/>
      <c r="K36" s="8"/>
    </row>
    <row r="37" spans="2:15" x14ac:dyDescent="0.25"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2:15" x14ac:dyDescent="0.25">
      <c r="B38" s="8" t="s">
        <v>13</v>
      </c>
      <c r="C38" s="8" t="s">
        <v>13</v>
      </c>
      <c r="D38" s="8"/>
      <c r="E38" s="8"/>
      <c r="F38" s="8"/>
      <c r="G38" s="8"/>
      <c r="H38" s="8"/>
      <c r="I38" s="8"/>
      <c r="J38" s="8"/>
      <c r="K38" s="8"/>
    </row>
    <row r="39" spans="2:15" x14ac:dyDescent="0.25">
      <c r="B39" s="88" t="e">
        <f>D3*C36*1</f>
        <v>#DIV/0!</v>
      </c>
      <c r="C39" s="88" t="s">
        <v>97</v>
      </c>
      <c r="D39" s="89"/>
      <c r="E39" s="89" t="e">
        <f>B39*0.965</f>
        <v>#DIV/0!</v>
      </c>
      <c r="F39" s="91">
        <v>7843.1501932231167</v>
      </c>
      <c r="G39" s="8"/>
      <c r="H39" s="8"/>
      <c r="I39" s="8"/>
      <c r="J39" s="8"/>
      <c r="K39" s="8"/>
    </row>
    <row r="40" spans="2:15" x14ac:dyDescent="0.25">
      <c r="B40" s="55" t="e">
        <f>B39/1000</f>
        <v>#DIV/0!</v>
      </c>
      <c r="C40" t="s">
        <v>98</v>
      </c>
      <c r="D40" t="e">
        <f>(21.73-B40)/21.73</f>
        <v>#DIV/0!</v>
      </c>
    </row>
    <row r="41" spans="2:15" x14ac:dyDescent="0.25">
      <c r="B41" s="29"/>
    </row>
    <row r="42" spans="2:15" x14ac:dyDescent="0.25">
      <c r="B42" s="29"/>
    </row>
    <row r="43" spans="2:15" x14ac:dyDescent="0.25">
      <c r="B43" s="29"/>
    </row>
    <row r="44" spans="2:15" x14ac:dyDescent="0.25">
      <c r="B44" s="2" t="s">
        <v>15</v>
      </c>
      <c r="C44" s="2" t="s">
        <v>34</v>
      </c>
      <c r="D44" s="2" t="s">
        <v>7</v>
      </c>
    </row>
    <row r="45" spans="2:15" x14ac:dyDescent="0.25">
      <c r="B45" s="2">
        <v>1</v>
      </c>
      <c r="C45" s="2">
        <v>0</v>
      </c>
      <c r="D45" s="2">
        <f>D47</f>
        <v>112</v>
      </c>
    </row>
    <row r="46" spans="2:15" x14ac:dyDescent="0.25">
      <c r="B46" s="2">
        <v>2</v>
      </c>
      <c r="C46" s="7">
        <f>C47-largeur_eff_semelle!O10</f>
        <v>15</v>
      </c>
      <c r="D46" s="2">
        <f>D47</f>
        <v>112</v>
      </c>
    </row>
    <row r="47" spans="2:15" x14ac:dyDescent="0.25">
      <c r="B47" s="2">
        <v>3</v>
      </c>
      <c r="C47" s="2">
        <f>C45+30/2</f>
        <v>15</v>
      </c>
      <c r="D47" s="2">
        <f>D49</f>
        <v>112</v>
      </c>
    </row>
    <row r="48" spans="2:15" x14ac:dyDescent="0.25">
      <c r="B48" s="2">
        <v>4</v>
      </c>
      <c r="C48" s="2">
        <f>C47+7</f>
        <v>22</v>
      </c>
      <c r="D48" s="2">
        <f>D49-7</f>
        <v>105</v>
      </c>
    </row>
    <row r="49" spans="2:4" x14ac:dyDescent="0.25">
      <c r="B49" s="2">
        <v>5</v>
      </c>
      <c r="C49" s="2">
        <f>C48+7</f>
        <v>29</v>
      </c>
      <c r="D49" s="2">
        <f>D50</f>
        <v>112</v>
      </c>
    </row>
    <row r="50" spans="2:4" x14ac:dyDescent="0.25">
      <c r="B50" s="2">
        <v>6</v>
      </c>
      <c r="C50" s="7" t="e">
        <f>C49+largeur_eff_semelle!O5</f>
        <v>#DIV/0!</v>
      </c>
      <c r="D50" s="2">
        <f>D55+30</f>
        <v>112</v>
      </c>
    </row>
    <row r="51" spans="2:4" x14ac:dyDescent="0.25">
      <c r="B51" s="2">
        <v>7</v>
      </c>
      <c r="C51" s="7" t="e">
        <f>C49+données!E7-largeur_eff_semelle!O5</f>
        <v>#DIV/0!</v>
      </c>
      <c r="D51" s="2">
        <f>D55+30</f>
        <v>112</v>
      </c>
    </row>
    <row r="52" spans="2:4" x14ac:dyDescent="0.25">
      <c r="B52" s="2">
        <v>8</v>
      </c>
      <c r="C52" s="7">
        <f>C49+données!E7</f>
        <v>29</v>
      </c>
      <c r="D52" s="2">
        <f>D55+30</f>
        <v>112</v>
      </c>
    </row>
    <row r="53" spans="2:4" x14ac:dyDescent="0.25">
      <c r="B53" s="2">
        <v>9</v>
      </c>
      <c r="C53" s="7" t="e">
        <f>C52+COS(données!D3)*largeur_eff_ame!C6</f>
        <v>#DIV/0!</v>
      </c>
      <c r="D53" s="7" t="e">
        <f>D52+SIN('résistance_section (3)'!D3)*largeur_eff_ame!C6</f>
        <v>#DIV/0!</v>
      </c>
    </row>
    <row r="54" spans="2:4" x14ac:dyDescent="0.25">
      <c r="B54" s="2">
        <v>10</v>
      </c>
      <c r="C54" s="7" t="e">
        <f>C55-COS(données!D3)*largeur_eff_ame!C24</f>
        <v>#DIV/0!</v>
      </c>
      <c r="D54" s="7" t="e">
        <f>D55+SIN(données!D3)*largeur_eff_ame!C24</f>
        <v>#DIV/0!</v>
      </c>
    </row>
    <row r="55" spans="2:4" x14ac:dyDescent="0.25">
      <c r="B55" s="2">
        <v>11</v>
      </c>
      <c r="C55" s="7">
        <f>C52+4</f>
        <v>33</v>
      </c>
      <c r="D55" s="7">
        <f>D56+7</f>
        <v>82</v>
      </c>
    </row>
    <row r="56" spans="2:4" x14ac:dyDescent="0.25">
      <c r="B56" s="2">
        <v>12</v>
      </c>
      <c r="C56" s="7">
        <f>C55+10</f>
        <v>43</v>
      </c>
      <c r="D56" s="7">
        <v>75</v>
      </c>
    </row>
    <row r="57" spans="2:4" x14ac:dyDescent="0.25">
      <c r="B57" s="2">
        <v>13</v>
      </c>
      <c r="C57" s="7" t="e">
        <f>C56+COS(données!D3)*largeur_eff_ame!G27</f>
        <v>#DIV/0!</v>
      </c>
      <c r="D57" s="7" t="e">
        <f>D56-SIN(données!D3)*largeur_eff_ame!G27</f>
        <v>#DIV/0!</v>
      </c>
    </row>
    <row r="58" spans="2:4" x14ac:dyDescent="0.25">
      <c r="B58" s="2">
        <v>14</v>
      </c>
      <c r="C58" s="7" t="e">
        <f>C56+COS(données!D3)*(largeur_eff_ame!E27-largeur_eff_ame!H24)</f>
        <v>#DIV/0!</v>
      </c>
      <c r="D58" s="7" t="e">
        <f>D56-SIN(données!D3)*(largeur_eff_ame!E27-largeur_eff_ame!H24)</f>
        <v>#DIV/0!</v>
      </c>
    </row>
    <row r="59" spans="2:4" x14ac:dyDescent="0.25">
      <c r="B59" s="2">
        <v>15</v>
      </c>
      <c r="C59" s="7" t="e">
        <f>C56+COS(données!D3)*largeur_eff_ame!E27</f>
        <v>#DIV/0!</v>
      </c>
      <c r="D59" s="7" t="e">
        <f>D56-SIN(données!D3)*largeur_eff_ame!E27</f>
        <v>#DIV/0!</v>
      </c>
    </row>
    <row r="60" spans="2:4" x14ac:dyDescent="0.25">
      <c r="B60" s="2">
        <v>14</v>
      </c>
      <c r="C60" s="2">
        <f>C56+10</f>
        <v>53</v>
      </c>
      <c r="D60" s="2">
        <v>0</v>
      </c>
    </row>
    <row r="61" spans="2:4" x14ac:dyDescent="0.25">
      <c r="B61" s="2">
        <v>15</v>
      </c>
      <c r="C61" s="2">
        <f>C60+36</f>
        <v>89</v>
      </c>
      <c r="D61" s="2">
        <v>0</v>
      </c>
    </row>
    <row r="62" spans="2:4" x14ac:dyDescent="0.25">
      <c r="B62" s="2">
        <v>16</v>
      </c>
      <c r="C62" s="2">
        <f>C61+8</f>
        <v>97</v>
      </c>
      <c r="D62" s="2">
        <v>7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windowProtection="1" workbookViewId="0">
      <selection activeCell="J5" sqref="J5"/>
    </sheetView>
  </sheetViews>
  <sheetFormatPr baseColWidth="10" defaultRowHeight="15" x14ac:dyDescent="0.25"/>
  <cols>
    <col min="2" max="2" width="5.42578125" bestFit="1" customWidth="1"/>
    <col min="3" max="3" width="4.42578125" bestFit="1" customWidth="1"/>
    <col min="4" max="4" width="11.28515625" bestFit="1" customWidth="1"/>
    <col min="5" max="5" width="10.28515625" bestFit="1" customWidth="1"/>
    <col min="6" max="6" width="4.42578125" bestFit="1" customWidth="1"/>
    <col min="7" max="7" width="6.85546875" customWidth="1"/>
    <col min="8" max="8" width="4.42578125" customWidth="1"/>
    <col min="9" max="9" width="5.42578125" bestFit="1" customWidth="1"/>
    <col min="10" max="10" width="7.140625" customWidth="1"/>
    <col min="11" max="11" width="5.42578125" customWidth="1"/>
    <col min="12" max="12" width="7.7109375" customWidth="1"/>
    <col min="13" max="13" width="5.42578125" bestFit="1" customWidth="1"/>
    <col min="14" max="14" width="7.85546875" bestFit="1" customWidth="1"/>
    <col min="15" max="15" width="8.42578125" bestFit="1" customWidth="1"/>
  </cols>
  <sheetData>
    <row r="2" spans="2:15" x14ac:dyDescent="0.25">
      <c r="B2" s="8" t="s">
        <v>17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6.5" x14ac:dyDescent="0.3">
      <c r="B4" s="2" t="s">
        <v>21</v>
      </c>
      <c r="C4" s="2" t="s">
        <v>0</v>
      </c>
      <c r="D4" s="2" t="s">
        <v>20</v>
      </c>
      <c r="E4" s="2" t="s">
        <v>2</v>
      </c>
      <c r="F4" s="2" t="s">
        <v>1</v>
      </c>
      <c r="G4" s="42" t="s">
        <v>80</v>
      </c>
      <c r="H4" s="39" t="s">
        <v>76</v>
      </c>
      <c r="I4" s="2" t="s">
        <v>22</v>
      </c>
      <c r="J4" s="40" t="s">
        <v>78</v>
      </c>
      <c r="K4" s="41" t="s">
        <v>79</v>
      </c>
      <c r="L4" s="2" t="s">
        <v>77</v>
      </c>
      <c r="M4" s="2" t="s">
        <v>3</v>
      </c>
      <c r="N4" s="10" t="s">
        <v>23</v>
      </c>
      <c r="O4" s="10" t="s">
        <v>4</v>
      </c>
    </row>
    <row r="5" spans="2:15" x14ac:dyDescent="0.25">
      <c r="B5" s="7" t="e">
        <f>largeur_eff_semelle!B5</f>
        <v>#DIV/0!</v>
      </c>
      <c r="C5" s="7">
        <f>données!E3</f>
        <v>0</v>
      </c>
      <c r="D5" s="37">
        <f>données!G3</f>
        <v>0</v>
      </c>
      <c r="E5" s="7">
        <f>données!H3</f>
        <v>0</v>
      </c>
      <c r="F5" s="7">
        <v>4</v>
      </c>
      <c r="G5" s="7">
        <v>1</v>
      </c>
      <c r="H5" s="7" t="e">
        <f>(235/D5)^0.5</f>
        <v>#DIV/0!</v>
      </c>
      <c r="I5" s="11" t="e">
        <f>B5/C5/28.4/H5/(F5)^0.5</f>
        <v>#DIV/0!</v>
      </c>
      <c r="J5" s="11" t="e">
        <f>MIN(D5,D5*(données!L3-'résistance_section (3)'!H32)/'résistance_section (3)'!H32)</f>
        <v>#DIV/0!</v>
      </c>
      <c r="K5" s="11">
        <v>1</v>
      </c>
      <c r="L5" s="11" t="e">
        <f>I5*SQRT(J5/D5/K5)</f>
        <v>#DIV/0!</v>
      </c>
      <c r="M5" s="11" t="e">
        <f>IF(L5&gt;0.673,(L5-0.055*(3+G5))/L5^2+0.18*(I5-L5)/(I5-0.6),1)</f>
        <v>#DIV/0!</v>
      </c>
      <c r="N5" s="7" t="e">
        <f>M5*B5</f>
        <v>#DIV/0!</v>
      </c>
      <c r="O5" s="65" t="e">
        <f>MAX(N5/2,données!C21)</f>
        <v>#DIV/0!</v>
      </c>
    </row>
    <row r="6" spans="2:15" x14ac:dyDescent="0.25">
      <c r="B6" s="8"/>
      <c r="C6" s="8"/>
      <c r="D6" s="3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5" x14ac:dyDescent="0.25">
      <c r="B7" s="8"/>
      <c r="C7" s="8"/>
      <c r="D7" s="3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2:15" x14ac:dyDescent="0.25">
      <c r="B8" s="8"/>
      <c r="C8" s="8"/>
      <c r="D8" s="3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2:15" x14ac:dyDescent="0.25">
      <c r="B9" s="2"/>
      <c r="C9" s="2"/>
      <c r="D9" s="10"/>
      <c r="E9" s="2"/>
      <c r="F9" s="2"/>
      <c r="G9" s="42"/>
      <c r="H9" s="39"/>
      <c r="I9" s="2"/>
      <c r="J9" s="40"/>
      <c r="K9" s="41"/>
      <c r="L9" s="2"/>
      <c r="M9" s="2"/>
      <c r="N9" s="10"/>
      <c r="O9" s="10"/>
    </row>
    <row r="10" spans="2:15" x14ac:dyDescent="0.25">
      <c r="B10" s="12"/>
      <c r="C10" s="7"/>
      <c r="D10" s="37"/>
      <c r="E10" s="7"/>
      <c r="F10" s="7"/>
      <c r="G10" s="7"/>
      <c r="H10" s="7"/>
      <c r="I10" s="11"/>
      <c r="J10" s="11"/>
      <c r="K10" s="11"/>
      <c r="L10" s="11"/>
      <c r="M10" s="11"/>
      <c r="N10" s="7"/>
      <c r="O10" s="65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windowProtection="1" topLeftCell="A22" workbookViewId="0">
      <selection activeCell="C42" sqref="C42"/>
    </sheetView>
  </sheetViews>
  <sheetFormatPr baseColWidth="10" defaultRowHeight="15" x14ac:dyDescent="0.25"/>
  <cols>
    <col min="2" max="2" width="11.42578125" bestFit="1" customWidth="1"/>
    <col min="3" max="3" width="7.7109375" bestFit="1" customWidth="1"/>
    <col min="4" max="4" width="8.28515625" bestFit="1" customWidth="1"/>
    <col min="5" max="5" width="11.140625" customWidth="1"/>
    <col min="6" max="6" width="8.42578125" customWidth="1"/>
    <col min="7" max="7" width="10.28515625" bestFit="1" customWidth="1"/>
    <col min="8" max="8" width="7.42578125" bestFit="1" customWidth="1"/>
    <col min="11" max="11" width="14.85546875" bestFit="1" customWidth="1"/>
    <col min="12" max="12" width="17" customWidth="1"/>
    <col min="13" max="13" width="17" bestFit="1" customWidth="1"/>
    <col min="14" max="15" width="14.85546875" bestFit="1" customWidth="1"/>
    <col min="16" max="16" width="16.140625" bestFit="1" customWidth="1"/>
    <col min="17" max="17" width="17" bestFit="1" customWidth="1"/>
    <col min="18" max="18" width="14.85546875" bestFit="1" customWidth="1"/>
  </cols>
  <sheetData>
    <row r="2" spans="1:18" ht="16.5" x14ac:dyDescent="0.3">
      <c r="B2" s="2" t="s">
        <v>24</v>
      </c>
      <c r="C2" s="2" t="s">
        <v>21</v>
      </c>
      <c r="D2" s="2" t="s">
        <v>0</v>
      </c>
      <c r="E2" s="2" t="s">
        <v>2</v>
      </c>
      <c r="F2" s="10" t="s">
        <v>8</v>
      </c>
      <c r="G2" s="8"/>
      <c r="H2" s="8"/>
      <c r="I2" s="8"/>
      <c r="J2" s="8"/>
    </row>
    <row r="3" spans="1:18" x14ac:dyDescent="0.25">
      <c r="B3" s="7" t="e">
        <f>(données!C30+données!C31+données!C32+données!C33/2)*2</f>
        <v>#DIV/0!</v>
      </c>
      <c r="C3" s="7" t="e">
        <f>largeur_eff_semelle!B5</f>
        <v>#DIV/0!</v>
      </c>
      <c r="D3" s="2">
        <f>données!E3</f>
        <v>0</v>
      </c>
      <c r="E3" s="7">
        <f>données!H3</f>
        <v>0</v>
      </c>
      <c r="F3" s="12">
        <f>données!D6</f>
        <v>0</v>
      </c>
      <c r="G3" s="8"/>
      <c r="H3" s="8"/>
      <c r="I3" s="8"/>
      <c r="J3" s="8"/>
    </row>
    <row r="4" spans="1:18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8.75" x14ac:dyDescent="0.3">
      <c r="B5" s="13" t="s">
        <v>5</v>
      </c>
      <c r="C5" s="13" t="s">
        <v>44</v>
      </c>
      <c r="D5" s="13" t="s">
        <v>47</v>
      </c>
      <c r="E5" s="13" t="s">
        <v>45</v>
      </c>
      <c r="F5" s="13" t="s">
        <v>48</v>
      </c>
      <c r="G5" s="13" t="s">
        <v>46</v>
      </c>
      <c r="H5" s="13" t="s">
        <v>8</v>
      </c>
      <c r="I5" s="13" t="s">
        <v>49</v>
      </c>
      <c r="J5" s="8"/>
      <c r="K5" s="13" t="s">
        <v>35</v>
      </c>
      <c r="L5" s="13" t="s">
        <v>36</v>
      </c>
      <c r="M5" s="13" t="s">
        <v>37</v>
      </c>
      <c r="N5" s="13" t="s">
        <v>38</v>
      </c>
      <c r="O5" s="13" t="s">
        <v>39</v>
      </c>
      <c r="P5" s="13" t="s">
        <v>40</v>
      </c>
      <c r="Q5" s="13" t="s">
        <v>41</v>
      </c>
      <c r="R5" s="13"/>
    </row>
    <row r="6" spans="1:18" ht="18.75" x14ac:dyDescent="0.3">
      <c r="A6" s="4"/>
      <c r="B6" s="13" t="s">
        <v>81</v>
      </c>
      <c r="C6" s="14" t="e">
        <f>15*D3-données!I19</f>
        <v>#DIV/0!</v>
      </c>
      <c r="D6" s="14" t="e">
        <f>C6*$D$3</f>
        <v>#DIV/0!</v>
      </c>
      <c r="E6" s="14">
        <v>0</v>
      </c>
      <c r="F6" s="14" t="e">
        <f>D6*E6</f>
        <v>#DIV/0!</v>
      </c>
      <c r="G6" s="15" t="e">
        <f>$G$16-E6</f>
        <v>#DIV/0!</v>
      </c>
      <c r="H6" s="15">
        <f>D3</f>
        <v>0</v>
      </c>
      <c r="I6" s="7" t="e">
        <f>D6*H6^2/12+D6*G6^2</f>
        <v>#DIV/0!</v>
      </c>
      <c r="J6" s="8"/>
      <c r="K6" s="2" t="s">
        <v>42</v>
      </c>
      <c r="L6" s="2"/>
      <c r="M6" s="2" t="s">
        <v>43</v>
      </c>
      <c r="N6" s="2"/>
      <c r="O6" s="2" t="s">
        <v>101</v>
      </c>
      <c r="P6" s="2"/>
      <c r="Q6" s="2" t="s">
        <v>102</v>
      </c>
      <c r="R6" s="2"/>
    </row>
    <row r="7" spans="1:18" x14ac:dyDescent="0.25">
      <c r="A7" s="4"/>
      <c r="B7" s="13">
        <v>2</v>
      </c>
      <c r="C7" s="14" t="e">
        <f>données!C33</f>
        <v>#DIV/0!</v>
      </c>
      <c r="D7" s="14" t="e">
        <f t="shared" ref="D7:D15" si="0">C7*$D$3</f>
        <v>#DIV/0!</v>
      </c>
      <c r="E7" s="14" t="e">
        <f>données!I27</f>
        <v>#DIV/0!</v>
      </c>
      <c r="F7" s="14" t="e">
        <f t="shared" ref="F7:F15" si="1">D7*E7</f>
        <v>#DIV/0!</v>
      </c>
      <c r="G7" s="15" t="e">
        <f t="shared" ref="G7:G15" si="2">$G$16-E7</f>
        <v>#DIV/0!</v>
      </c>
      <c r="H7" s="15"/>
      <c r="I7" s="6" t="e">
        <f>D3*données!P$3^3*((données!I$17+SIN(données!I$17)*COS(données!I$17))/2-SIN(données!I$17)^2/données!I$17)+D7*G7^2</f>
        <v>#DIV/0!</v>
      </c>
      <c r="J7" s="8"/>
      <c r="K7" s="8"/>
      <c r="L7" s="8"/>
    </row>
    <row r="8" spans="1:18" x14ac:dyDescent="0.25">
      <c r="A8" s="4"/>
      <c r="B8" s="13">
        <v>3</v>
      </c>
      <c r="C8" s="14" t="e">
        <f>données!C32</f>
        <v>#DIV/0!</v>
      </c>
      <c r="D8" s="14" t="e">
        <f t="shared" si="0"/>
        <v>#DIV/0!</v>
      </c>
      <c r="E8" s="45">
        <f>données!N3/2</f>
        <v>0</v>
      </c>
      <c r="F8" s="14" t="e">
        <f t="shared" si="1"/>
        <v>#DIV/0!</v>
      </c>
      <c r="G8" s="15" t="e">
        <f t="shared" si="2"/>
        <v>#DIV/0!</v>
      </c>
      <c r="H8" s="15" t="e">
        <f>données!M32</f>
        <v>#DIV/0!</v>
      </c>
      <c r="I8" s="7" t="e">
        <f>D8*H8^2/12+D8*G8^2</f>
        <v>#DIV/0!</v>
      </c>
      <c r="J8" s="8"/>
      <c r="K8" s="8"/>
      <c r="L8" s="8"/>
    </row>
    <row r="9" spans="1:18" x14ac:dyDescent="0.25">
      <c r="A9" s="4"/>
      <c r="B9" s="13">
        <v>4</v>
      </c>
      <c r="C9" s="14" t="e">
        <f>données!C31</f>
        <v>#DIV/0!</v>
      </c>
      <c r="D9" s="14" t="e">
        <f t="shared" si="0"/>
        <v>#DIV/0!</v>
      </c>
      <c r="E9" s="16" t="e">
        <f>données!N3-données!I27</f>
        <v>#DIV/0!</v>
      </c>
      <c r="F9" s="14" t="e">
        <f t="shared" si="1"/>
        <v>#DIV/0!</v>
      </c>
      <c r="G9" s="15" t="e">
        <f t="shared" si="2"/>
        <v>#DIV/0!</v>
      </c>
      <c r="H9" s="15"/>
      <c r="I9" s="6" t="e">
        <f>D3*données!P$3^3*((données!L$17+SIN(données!L$17)*COS(données!L$17))/2-SIN(données!L$17)^2/données!L$17)+D9*G9^2</f>
        <v>#DIV/0!</v>
      </c>
      <c r="J9" s="8"/>
      <c r="K9" s="8"/>
      <c r="L9" s="8"/>
    </row>
    <row r="10" spans="1:18" x14ac:dyDescent="0.25">
      <c r="A10" s="4"/>
      <c r="B10" s="13">
        <v>5</v>
      </c>
      <c r="C10" s="14" t="e">
        <f>données!C30</f>
        <v>#DIV/0!</v>
      </c>
      <c r="D10" s="14" t="e">
        <f t="shared" si="0"/>
        <v>#DIV/0!</v>
      </c>
      <c r="E10" s="45">
        <f>données!N3</f>
        <v>0</v>
      </c>
      <c r="F10" s="14" t="e">
        <f t="shared" si="1"/>
        <v>#DIV/0!</v>
      </c>
      <c r="G10" s="15" t="e">
        <f t="shared" si="2"/>
        <v>#DIV/0!</v>
      </c>
      <c r="H10" s="15">
        <f>D3</f>
        <v>0</v>
      </c>
      <c r="I10" s="7" t="e">
        <f>D10*H10^2/12+D10*G10^2</f>
        <v>#DIV/0!</v>
      </c>
      <c r="J10" s="8"/>
      <c r="K10" s="8" t="s">
        <v>16</v>
      </c>
      <c r="L10" s="8" t="e">
        <f>F16/#REF!</f>
        <v>#DIV/0!</v>
      </c>
    </row>
    <row r="11" spans="1:18" x14ac:dyDescent="0.25">
      <c r="A11" s="4"/>
      <c r="B11" s="13">
        <v>6</v>
      </c>
      <c r="C11" s="14" t="e">
        <f>C10</f>
        <v>#DIV/0!</v>
      </c>
      <c r="D11" s="14" t="e">
        <f t="shared" si="0"/>
        <v>#DIV/0!</v>
      </c>
      <c r="E11" s="16">
        <f>E10</f>
        <v>0</v>
      </c>
      <c r="F11" s="14" t="e">
        <f t="shared" si="1"/>
        <v>#DIV/0!</v>
      </c>
      <c r="G11" s="15" t="e">
        <f t="shared" si="2"/>
        <v>#DIV/0!</v>
      </c>
      <c r="H11" s="15">
        <f>H10</f>
        <v>0</v>
      </c>
      <c r="I11" s="63" t="e">
        <f>I10</f>
        <v>#DIV/0!</v>
      </c>
      <c r="J11" s="8"/>
    </row>
    <row r="12" spans="1:18" x14ac:dyDescent="0.25">
      <c r="A12" s="4"/>
      <c r="B12" s="13">
        <v>7</v>
      </c>
      <c r="C12" s="14" t="e">
        <f>C9</f>
        <v>#DIV/0!</v>
      </c>
      <c r="D12" s="14" t="e">
        <f t="shared" si="0"/>
        <v>#DIV/0!</v>
      </c>
      <c r="E12" s="14" t="e">
        <f>E9</f>
        <v>#DIV/0!</v>
      </c>
      <c r="F12" s="14" t="e">
        <f t="shared" si="1"/>
        <v>#DIV/0!</v>
      </c>
      <c r="G12" s="15" t="e">
        <f t="shared" si="2"/>
        <v>#DIV/0!</v>
      </c>
      <c r="H12" s="14">
        <f>H9</f>
        <v>0</v>
      </c>
      <c r="I12" s="110" t="e">
        <f>I9</f>
        <v>#DIV/0!</v>
      </c>
      <c r="J12" s="8"/>
    </row>
    <row r="13" spans="1:18" x14ac:dyDescent="0.25">
      <c r="A13" s="4"/>
      <c r="B13" s="13">
        <v>8</v>
      </c>
      <c r="C13" s="14" t="e">
        <f>C8</f>
        <v>#DIV/0!</v>
      </c>
      <c r="D13" s="14" t="e">
        <f t="shared" si="0"/>
        <v>#DIV/0!</v>
      </c>
      <c r="E13" s="14">
        <f>E8</f>
        <v>0</v>
      </c>
      <c r="F13" s="14" t="e">
        <f t="shared" si="1"/>
        <v>#DIV/0!</v>
      </c>
      <c r="G13" s="15" t="e">
        <f t="shared" si="2"/>
        <v>#DIV/0!</v>
      </c>
      <c r="H13" s="14" t="e">
        <f>H8</f>
        <v>#DIV/0!</v>
      </c>
      <c r="I13" s="111" t="e">
        <f>I8</f>
        <v>#DIV/0!</v>
      </c>
      <c r="J13" s="8"/>
    </row>
    <row r="14" spans="1:18" x14ac:dyDescent="0.25">
      <c r="A14" s="4"/>
      <c r="B14" s="13">
        <v>9</v>
      </c>
      <c r="C14" s="14" t="e">
        <f>C7</f>
        <v>#DIV/0!</v>
      </c>
      <c r="D14" s="14" t="e">
        <f t="shared" si="0"/>
        <v>#DIV/0!</v>
      </c>
      <c r="E14" s="14" t="e">
        <f>E7</f>
        <v>#DIV/0!</v>
      </c>
      <c r="F14" s="14" t="e">
        <f t="shared" si="1"/>
        <v>#DIV/0!</v>
      </c>
      <c r="G14" s="15" t="e">
        <f t="shared" si="2"/>
        <v>#DIV/0!</v>
      </c>
      <c r="H14" s="14">
        <f>H7</f>
        <v>0</v>
      </c>
      <c r="I14" s="112" t="e">
        <f>I7</f>
        <v>#DIV/0!</v>
      </c>
      <c r="J14" s="8"/>
    </row>
    <row r="15" spans="1:18" x14ac:dyDescent="0.25">
      <c r="B15" s="13" t="s">
        <v>82</v>
      </c>
      <c r="C15" s="14" t="e">
        <f>15*D3-données!I19</f>
        <v>#DIV/0!</v>
      </c>
      <c r="D15" s="14" t="e">
        <f t="shared" si="0"/>
        <v>#DIV/0!</v>
      </c>
      <c r="E15" s="14">
        <v>0</v>
      </c>
      <c r="F15" s="14" t="e">
        <f t="shared" si="1"/>
        <v>#DIV/0!</v>
      </c>
      <c r="G15" s="15" t="e">
        <f t="shared" si="2"/>
        <v>#DIV/0!</v>
      </c>
      <c r="H15" s="15">
        <f>données!M34</f>
        <v>0</v>
      </c>
      <c r="I15" s="7" t="e">
        <f>D15*H15^2/12+D15*G15^2</f>
        <v>#DIV/0!</v>
      </c>
      <c r="J15" s="8"/>
    </row>
    <row r="16" spans="1:18" x14ac:dyDescent="0.25">
      <c r="B16" s="25" t="s">
        <v>6</v>
      </c>
      <c r="C16" s="16"/>
      <c r="D16" s="26" t="e">
        <f>SUM(D6:D15)</f>
        <v>#DIV/0!</v>
      </c>
      <c r="E16" s="17"/>
      <c r="F16" s="14" t="e">
        <f>SUM(F6:F15)</f>
        <v>#DIV/0!</v>
      </c>
      <c r="G16" s="17" t="e">
        <f>F16/D16</f>
        <v>#DIV/0!</v>
      </c>
      <c r="H16" s="17"/>
      <c r="I16" s="7" t="e">
        <f>SUM(I6:I15)</f>
        <v>#DIV/0!</v>
      </c>
      <c r="J16" s="8"/>
    </row>
    <row r="17" spans="1:18" x14ac:dyDescent="0.25">
      <c r="B17" s="18"/>
      <c r="C17" s="17"/>
      <c r="D17" s="17"/>
      <c r="E17" s="17"/>
      <c r="F17" s="17"/>
      <c r="G17" s="17"/>
      <c r="H17" s="17"/>
      <c r="I17" s="121"/>
      <c r="J17" s="8"/>
    </row>
    <row r="18" spans="1:18" ht="16.5" x14ac:dyDescent="0.3">
      <c r="B18" s="13" t="s">
        <v>5</v>
      </c>
      <c r="C18" s="13" t="s">
        <v>44</v>
      </c>
      <c r="D18" s="13" t="s">
        <v>47</v>
      </c>
      <c r="E18" s="13"/>
      <c r="F18" s="13"/>
      <c r="G18" s="13"/>
      <c r="H18" s="13"/>
      <c r="I18" s="13"/>
      <c r="J18" s="8"/>
      <c r="K18" s="13" t="s">
        <v>35</v>
      </c>
      <c r="L18" s="13" t="s">
        <v>36</v>
      </c>
      <c r="M18" s="13" t="s">
        <v>37</v>
      </c>
      <c r="N18" s="13" t="s">
        <v>38</v>
      </c>
      <c r="O18" s="13" t="s">
        <v>39</v>
      </c>
      <c r="P18" s="13" t="s">
        <v>40</v>
      </c>
      <c r="Q18" s="13" t="s">
        <v>41</v>
      </c>
      <c r="R18" s="13"/>
    </row>
    <row r="19" spans="1:18" ht="18.75" x14ac:dyDescent="0.3">
      <c r="A19" s="4"/>
      <c r="B19" s="13" t="s">
        <v>81</v>
      </c>
      <c r="C19" s="14" t="e">
        <f>'largeur_eff_semelle (4)'!O5-données!I19</f>
        <v>#DIV/0!</v>
      </c>
      <c r="D19" s="14" t="e">
        <f>C19*$D$3</f>
        <v>#DIV/0!</v>
      </c>
      <c r="E19" s="14"/>
      <c r="F19" s="14"/>
      <c r="G19" s="15"/>
      <c r="H19" s="15"/>
      <c r="I19" s="12"/>
      <c r="J19" s="8"/>
      <c r="K19" s="2" t="s">
        <v>42</v>
      </c>
      <c r="L19" s="2"/>
      <c r="M19" s="2" t="s">
        <v>43</v>
      </c>
      <c r="N19" s="2"/>
      <c r="O19" s="2" t="s">
        <v>101</v>
      </c>
      <c r="P19" s="2"/>
      <c r="Q19" s="2" t="s">
        <v>102</v>
      </c>
      <c r="R19" s="2"/>
    </row>
    <row r="20" spans="1:18" x14ac:dyDescent="0.25">
      <c r="A20" s="4"/>
      <c r="B20" s="13">
        <v>2</v>
      </c>
      <c r="C20" s="14" t="e">
        <f>C7</f>
        <v>#DIV/0!</v>
      </c>
      <c r="D20" s="14" t="e">
        <f t="shared" ref="D20:D28" si="3">C20*$D$3</f>
        <v>#DIV/0!</v>
      </c>
      <c r="E20" s="14"/>
      <c r="F20" s="14"/>
      <c r="G20" s="15"/>
      <c r="H20" s="15"/>
      <c r="I20" s="6"/>
      <c r="J20" s="8"/>
      <c r="K20" s="8"/>
      <c r="L20" s="8"/>
    </row>
    <row r="21" spans="1:18" x14ac:dyDescent="0.25">
      <c r="A21" s="4"/>
      <c r="B21" s="13">
        <v>3</v>
      </c>
      <c r="C21" s="14" t="e">
        <f t="shared" ref="C21:C27" si="4">C8</f>
        <v>#DIV/0!</v>
      </c>
      <c r="D21" s="14" t="e">
        <f t="shared" si="3"/>
        <v>#DIV/0!</v>
      </c>
      <c r="E21" s="45"/>
      <c r="F21" s="14"/>
      <c r="G21" s="15"/>
      <c r="H21" s="15"/>
      <c r="I21" s="7"/>
      <c r="J21" s="8"/>
      <c r="K21" s="8"/>
      <c r="L21" s="8"/>
    </row>
    <row r="22" spans="1:18" x14ac:dyDescent="0.25">
      <c r="A22" s="4"/>
      <c r="B22" s="13">
        <v>4</v>
      </c>
      <c r="C22" s="14" t="e">
        <f t="shared" si="4"/>
        <v>#DIV/0!</v>
      </c>
      <c r="D22" s="14" t="e">
        <f t="shared" si="3"/>
        <v>#DIV/0!</v>
      </c>
      <c r="E22" s="16"/>
      <c r="F22" s="14"/>
      <c r="G22" s="15"/>
      <c r="H22" s="15"/>
      <c r="I22" s="6"/>
      <c r="J22" s="8"/>
      <c r="K22" s="8"/>
      <c r="L22" s="8"/>
    </row>
    <row r="23" spans="1:18" x14ac:dyDescent="0.25">
      <c r="A23" s="4"/>
      <c r="B23" s="13">
        <v>5</v>
      </c>
      <c r="C23" s="14" t="e">
        <f t="shared" si="4"/>
        <v>#DIV/0!</v>
      </c>
      <c r="D23" s="14" t="e">
        <f t="shared" si="3"/>
        <v>#DIV/0!</v>
      </c>
      <c r="E23" s="45"/>
      <c r="F23" s="14"/>
      <c r="G23" s="15"/>
      <c r="H23" s="15"/>
      <c r="I23" s="7"/>
      <c r="J23" s="8"/>
      <c r="K23" s="8" t="s">
        <v>16</v>
      </c>
      <c r="L23" s="8" t="e">
        <f>F29/#REF!</f>
        <v>#REF!</v>
      </c>
    </row>
    <row r="24" spans="1:18" x14ac:dyDescent="0.25">
      <c r="A24" s="4"/>
      <c r="B24" s="13">
        <v>6</v>
      </c>
      <c r="C24" s="14" t="e">
        <f t="shared" si="4"/>
        <v>#DIV/0!</v>
      </c>
      <c r="D24" s="14" t="e">
        <f t="shared" si="3"/>
        <v>#DIV/0!</v>
      </c>
      <c r="E24" s="16"/>
      <c r="F24" s="14"/>
      <c r="G24" s="15"/>
      <c r="H24" s="15"/>
      <c r="I24" s="63"/>
      <c r="J24" s="8"/>
    </row>
    <row r="25" spans="1:18" x14ac:dyDescent="0.25">
      <c r="A25" s="4"/>
      <c r="B25" s="13">
        <v>7</v>
      </c>
      <c r="C25" s="14" t="e">
        <f t="shared" si="4"/>
        <v>#DIV/0!</v>
      </c>
      <c r="D25" s="14" t="e">
        <f t="shared" si="3"/>
        <v>#DIV/0!</v>
      </c>
      <c r="E25" s="14"/>
      <c r="F25" s="14"/>
      <c r="G25" s="15"/>
      <c r="H25" s="14"/>
      <c r="I25" s="110"/>
      <c r="J25" s="8"/>
    </row>
    <row r="26" spans="1:18" x14ac:dyDescent="0.25">
      <c r="A26" s="4"/>
      <c r="B26" s="13">
        <v>8</v>
      </c>
      <c r="C26" s="14" t="e">
        <f t="shared" si="4"/>
        <v>#DIV/0!</v>
      </c>
      <c r="D26" s="14" t="e">
        <f t="shared" si="3"/>
        <v>#DIV/0!</v>
      </c>
      <c r="E26" s="14"/>
      <c r="F26" s="14"/>
      <c r="G26" s="15"/>
      <c r="H26" s="14"/>
      <c r="I26" s="111"/>
      <c r="J26" s="8"/>
    </row>
    <row r="27" spans="1:18" x14ac:dyDescent="0.25">
      <c r="A27" s="4"/>
      <c r="B27" s="13">
        <v>9</v>
      </c>
      <c r="C27" s="14" t="e">
        <f t="shared" si="4"/>
        <v>#DIV/0!</v>
      </c>
      <c r="D27" s="14" t="e">
        <f t="shared" si="3"/>
        <v>#DIV/0!</v>
      </c>
      <c r="E27" s="14"/>
      <c r="F27" s="14"/>
      <c r="G27" s="15"/>
      <c r="H27" s="14"/>
      <c r="I27" s="112"/>
      <c r="J27" s="8"/>
    </row>
    <row r="28" spans="1:18" x14ac:dyDescent="0.25">
      <c r="B28" s="13" t="s">
        <v>82</v>
      </c>
      <c r="C28" s="14" t="e">
        <f>'largeur_eff_semelle (4)'!O5-données!I19</f>
        <v>#DIV/0!</v>
      </c>
      <c r="D28" s="14" t="e">
        <f t="shared" si="3"/>
        <v>#DIV/0!</v>
      </c>
      <c r="E28" s="14"/>
      <c r="F28" s="14"/>
      <c r="G28" s="15"/>
      <c r="H28" s="15"/>
      <c r="I28" s="66"/>
      <c r="J28" s="8"/>
    </row>
    <row r="29" spans="1:18" x14ac:dyDescent="0.25">
      <c r="B29" s="25" t="s">
        <v>6</v>
      </c>
      <c r="C29" s="16"/>
      <c r="D29" s="26" t="e">
        <f>SUM(D19:D28)</f>
        <v>#DIV/0!</v>
      </c>
      <c r="E29" s="17"/>
      <c r="F29" s="14"/>
      <c r="G29" s="17"/>
      <c r="H29" s="17"/>
      <c r="I29" s="7"/>
      <c r="J29" s="8"/>
    </row>
    <row r="30" spans="1:18" x14ac:dyDescent="0.25">
      <c r="B30" s="18"/>
      <c r="C30" s="17"/>
      <c r="D30" s="17"/>
      <c r="E30" s="17"/>
      <c r="F30" s="17"/>
      <c r="G30" s="17"/>
      <c r="H30" s="17"/>
      <c r="I30" s="121"/>
      <c r="J30" s="8"/>
    </row>
    <row r="31" spans="1:18" x14ac:dyDescent="0.25">
      <c r="B31" s="18"/>
      <c r="C31" s="18"/>
      <c r="D31" s="18"/>
      <c r="E31" s="18"/>
      <c r="F31" s="18"/>
      <c r="G31" s="18"/>
      <c r="H31" s="19"/>
      <c r="I31" s="19"/>
      <c r="J31" s="19"/>
      <c r="K31" s="8"/>
      <c r="L31" s="8"/>
    </row>
    <row r="32" spans="1:18" ht="16.5" x14ac:dyDescent="0.3">
      <c r="B32" s="2" t="s">
        <v>111</v>
      </c>
      <c r="C32" s="2"/>
      <c r="D32" s="2" t="s">
        <v>25</v>
      </c>
      <c r="E32" s="2" t="s">
        <v>26</v>
      </c>
      <c r="F32" s="2" t="s">
        <v>27</v>
      </c>
      <c r="G32" s="2" t="s">
        <v>28</v>
      </c>
      <c r="H32" s="2" t="s">
        <v>107</v>
      </c>
      <c r="I32" s="2" t="s">
        <v>29</v>
      </c>
      <c r="J32" s="8"/>
      <c r="K32" s="8"/>
      <c r="L32" s="8"/>
    </row>
    <row r="33" spans="2:12" x14ac:dyDescent="0.25">
      <c r="B33" s="7" t="e">
        <f>2*C3+B3</f>
        <v>#DIV/0!</v>
      </c>
      <c r="C33" s="7"/>
      <c r="D33" s="7">
        <f>données!D15</f>
        <v>0</v>
      </c>
      <c r="E33" s="7" t="e">
        <f>données!M3</f>
        <v>#DIV/0!</v>
      </c>
      <c r="F33" s="7" t="e">
        <f>3.07*(I16*C3^2*(2*C3+3*B3)/D3^3)^0.25</f>
        <v>#DIV/0!</v>
      </c>
      <c r="G33" s="7" t="e">
        <f>F33/E33</f>
        <v>#DIV/0!</v>
      </c>
      <c r="H33" s="7" t="e">
        <f>((E33+2*B33)/(E33+0.5*B33))^0.5</f>
        <v>#DIV/0!</v>
      </c>
      <c r="I33" s="67" t="e">
        <f>IF(G33&gt;2,H33,(H33-(H33-1)*(2*F33/E33-(F33/E33)^2)))</f>
        <v>#DIV/0!</v>
      </c>
      <c r="J33" s="8"/>
      <c r="K33" s="8"/>
      <c r="L33" s="8"/>
    </row>
    <row r="34" spans="2:12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2:12" ht="16.5" x14ac:dyDescent="0.3">
      <c r="B35" s="2" t="s">
        <v>50</v>
      </c>
      <c r="C35" s="8"/>
      <c r="D35" s="8"/>
      <c r="E35" s="8"/>
      <c r="F35" s="8"/>
      <c r="G35" s="8"/>
      <c r="H35" s="8"/>
      <c r="I35" s="8"/>
      <c r="J35" s="8"/>
      <c r="K35" s="8"/>
    </row>
    <row r="36" spans="2:12" x14ac:dyDescent="0.25">
      <c r="B36" s="7" t="e">
        <f>4.2*I33*E3/D29*(I16*D3^3/4/C3^2/(2*C3+3*B3))^0.5</f>
        <v>#DIV/0!</v>
      </c>
      <c r="C36" s="8"/>
      <c r="D36" s="8"/>
      <c r="E36" s="8"/>
      <c r="F36" s="8"/>
      <c r="G36" s="8"/>
      <c r="H36" s="8"/>
      <c r="I36" s="8"/>
      <c r="J36" s="8"/>
      <c r="K36" s="8"/>
    </row>
    <row r="38" spans="2:12" ht="16.5" x14ac:dyDescent="0.3">
      <c r="B38" s="2" t="s">
        <v>20</v>
      </c>
      <c r="C38" s="2" t="s">
        <v>10</v>
      </c>
      <c r="D38" s="2" t="s">
        <v>108</v>
      </c>
      <c r="E38" s="2" t="s">
        <v>109</v>
      </c>
    </row>
    <row r="39" spans="2:12" x14ac:dyDescent="0.25">
      <c r="B39" s="6">
        <f>données!G3</f>
        <v>0</v>
      </c>
      <c r="C39" s="11" t="e">
        <f>(B39/B36)^0.5</f>
        <v>#DIV/0!</v>
      </c>
      <c r="D39" t="e">
        <f>IF(C39&lt;0.65,1,(1.47-0.723*C39))</f>
        <v>#DIV/0!</v>
      </c>
      <c r="E39" t="e">
        <f>IF(C39&gt;1.38,0.66/C39,D39)</f>
        <v>#DIV/0!</v>
      </c>
    </row>
    <row r="41" spans="2:12" ht="16.5" x14ac:dyDescent="0.3">
      <c r="B41" s="7" t="s">
        <v>11</v>
      </c>
      <c r="C41" s="13" t="s">
        <v>56</v>
      </c>
      <c r="E41" s="2" t="s">
        <v>142</v>
      </c>
    </row>
    <row r="42" spans="2:12" x14ac:dyDescent="0.25">
      <c r="B42" s="68" t="e">
        <f>E39</f>
        <v>#DIV/0!</v>
      </c>
      <c r="C42" s="14" t="e">
        <f>B42*données!E3</f>
        <v>#DIV/0!</v>
      </c>
      <c r="E42" t="e">
        <f>B39/'largeur_eff_semelle (4)'!K5/'largeur_eff_semelle (4)'!J5</f>
        <v>#DIV/0!</v>
      </c>
      <c r="G42" s="74" t="e">
        <f>B42*E42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windowProtection="1" workbookViewId="0">
      <selection activeCell="J5" sqref="J5"/>
    </sheetView>
  </sheetViews>
  <sheetFormatPr baseColWidth="10" defaultRowHeight="15" x14ac:dyDescent="0.25"/>
  <cols>
    <col min="2" max="2" width="5.42578125" bestFit="1" customWidth="1"/>
    <col min="3" max="3" width="4.42578125" bestFit="1" customWidth="1"/>
    <col min="4" max="4" width="11.28515625" bestFit="1" customWidth="1"/>
    <col min="5" max="5" width="10.28515625" bestFit="1" customWidth="1"/>
    <col min="6" max="6" width="4.42578125" bestFit="1" customWidth="1"/>
    <col min="7" max="7" width="6.85546875" customWidth="1"/>
    <col min="8" max="8" width="4.42578125" customWidth="1"/>
    <col min="9" max="9" width="5.42578125" bestFit="1" customWidth="1"/>
    <col min="10" max="10" width="7.140625" customWidth="1"/>
    <col min="11" max="11" width="5.42578125" customWidth="1"/>
    <col min="12" max="12" width="7.7109375" customWidth="1"/>
    <col min="13" max="13" width="5.42578125" bestFit="1" customWidth="1"/>
    <col min="14" max="14" width="7.85546875" bestFit="1" customWidth="1"/>
    <col min="15" max="15" width="8.42578125" bestFit="1" customWidth="1"/>
  </cols>
  <sheetData>
    <row r="2" spans="2:15" x14ac:dyDescent="0.25">
      <c r="B2" s="8" t="s">
        <v>138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6.5" x14ac:dyDescent="0.3">
      <c r="B4" s="2" t="s">
        <v>21</v>
      </c>
      <c r="C4" s="2" t="s">
        <v>0</v>
      </c>
      <c r="D4" s="2" t="s">
        <v>20</v>
      </c>
      <c r="E4" s="2" t="s">
        <v>2</v>
      </c>
      <c r="F4" s="2" t="s">
        <v>1</v>
      </c>
      <c r="G4" s="42" t="s">
        <v>80</v>
      </c>
      <c r="H4" s="39" t="s">
        <v>76</v>
      </c>
      <c r="I4" s="2" t="s">
        <v>22</v>
      </c>
      <c r="J4" s="40" t="s">
        <v>78</v>
      </c>
      <c r="K4" s="41" t="s">
        <v>79</v>
      </c>
      <c r="L4" s="2" t="s">
        <v>77</v>
      </c>
      <c r="M4" s="2" t="s">
        <v>3</v>
      </c>
      <c r="N4" s="10" t="s">
        <v>23</v>
      </c>
      <c r="O4" s="10" t="s">
        <v>139</v>
      </c>
    </row>
    <row r="5" spans="2:15" x14ac:dyDescent="0.25">
      <c r="B5" s="7" t="e">
        <f>données!$C$8-données!$C$20-données!$I$18</f>
        <v>#DIV/0!</v>
      </c>
      <c r="C5" s="7">
        <f>données!$E$3</f>
        <v>0</v>
      </c>
      <c r="D5" s="37">
        <f>données!$G$3</f>
        <v>0</v>
      </c>
      <c r="E5" s="7">
        <f>données!H$3</f>
        <v>0</v>
      </c>
      <c r="F5" s="7">
        <v>4</v>
      </c>
      <c r="G5" s="7">
        <v>1</v>
      </c>
      <c r="H5" s="7" t="e">
        <f>(235/D5)^0.5</f>
        <v>#DIV/0!</v>
      </c>
      <c r="I5" s="11" t="e">
        <f>B5/C5/28.4/H5/(F5)^0.5</f>
        <v>#DIV/0!</v>
      </c>
      <c r="J5" s="11" t="e">
        <f>'raidisseur (4)'!B42*MIN(D5,D5*(données!L$3-'résistance_section (3)'!H32)/'résistance_section (3)'!H32)</f>
        <v>#DIV/0!</v>
      </c>
      <c r="K5" s="11">
        <v>1</v>
      </c>
      <c r="L5" s="11" t="e">
        <f>I5*SQRT(J5/D5/K5)</f>
        <v>#DIV/0!</v>
      </c>
      <c r="M5" s="11" t="e">
        <f>IF(L5&gt;0.673,(L5-0.055*(3+G5))/L5^2+0.18*(I5-L5)/(I5-0.6),1)</f>
        <v>#DIV/0!</v>
      </c>
      <c r="N5" s="7" t="e">
        <f>M5*B5</f>
        <v>#DIV/0!</v>
      </c>
      <c r="O5" s="65" t="e">
        <f>N5/2</f>
        <v>#DIV/0!</v>
      </c>
    </row>
    <row r="6" spans="2:15" x14ac:dyDescent="0.25">
      <c r="B6" s="8"/>
      <c r="C6" s="8"/>
      <c r="D6" s="3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5" x14ac:dyDescent="0.25">
      <c r="B7" s="8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2:15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2:15" ht="16.5" x14ac:dyDescent="0.3">
      <c r="B9" s="2" t="s">
        <v>21</v>
      </c>
      <c r="C9" s="2" t="s">
        <v>0</v>
      </c>
      <c r="D9" s="2" t="s">
        <v>20</v>
      </c>
      <c r="E9" s="2" t="s">
        <v>2</v>
      </c>
      <c r="F9" s="2" t="s">
        <v>1</v>
      </c>
      <c r="G9" s="42" t="s">
        <v>80</v>
      </c>
      <c r="H9" s="39" t="s">
        <v>76</v>
      </c>
      <c r="I9" s="2" t="s">
        <v>22</v>
      </c>
      <c r="J9" s="40" t="s">
        <v>78</v>
      </c>
      <c r="K9" s="41" t="s">
        <v>79</v>
      </c>
      <c r="L9" s="2" t="s">
        <v>77</v>
      </c>
      <c r="M9" s="2" t="s">
        <v>3</v>
      </c>
      <c r="N9" s="10" t="s">
        <v>23</v>
      </c>
      <c r="O9" s="10" t="s">
        <v>140</v>
      </c>
    </row>
    <row r="10" spans="2:15" x14ac:dyDescent="0.25">
      <c r="B10" s="7" t="e">
        <f>données!$C$8-données!$C$20-données!$I$18</f>
        <v>#DIV/0!</v>
      </c>
      <c r="C10" s="7">
        <f>données!$E$3</f>
        <v>0</v>
      </c>
      <c r="D10" s="37">
        <f>données!$G$3</f>
        <v>0</v>
      </c>
      <c r="E10" s="7">
        <f>données!H$3</f>
        <v>0</v>
      </c>
      <c r="F10" s="7">
        <v>4</v>
      </c>
      <c r="G10" s="7">
        <v>1</v>
      </c>
      <c r="H10" s="7" t="e">
        <f>(235/D10)^0.5</f>
        <v>#DIV/0!</v>
      </c>
      <c r="I10" s="11" t="e">
        <f>B10/C10/28.4/H10/(F10)^0.5</f>
        <v>#DIV/0!</v>
      </c>
      <c r="J10" s="11" t="e">
        <f>MIN(D10,D10*(données!L$3-'résistance_section (3)'!H32)/'résistance_section (3)'!H32)</f>
        <v>#DIV/0!</v>
      </c>
      <c r="K10" s="11">
        <v>1</v>
      </c>
      <c r="L10" s="11" t="e">
        <f>I10*SQRT(J10/D10/K10)</f>
        <v>#DIV/0!</v>
      </c>
      <c r="M10" s="11" t="e">
        <f>IF(L10&gt;0.673,(L10-0.055*(3+G10))/L10^2+0.18*(I10-L10)/(I10-0.6),1)</f>
        <v>#DIV/0!</v>
      </c>
      <c r="N10" s="7" t="e">
        <f>M10*B10</f>
        <v>#DIV/0!</v>
      </c>
      <c r="O10" s="65" t="e">
        <f>MAX(N10/2,données!C21)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windowProtection="1" workbookViewId="0">
      <selection activeCell="E8" sqref="E8"/>
    </sheetView>
  </sheetViews>
  <sheetFormatPr baseColWidth="10" defaultRowHeight="15" x14ac:dyDescent="0.25"/>
  <cols>
    <col min="2" max="2" width="11.42578125" bestFit="1" customWidth="1"/>
    <col min="3" max="3" width="7.7109375" bestFit="1" customWidth="1"/>
    <col min="4" max="4" width="8.28515625" bestFit="1" customWidth="1"/>
    <col min="5" max="5" width="11.140625" customWidth="1"/>
    <col min="6" max="6" width="8.42578125" customWidth="1"/>
    <col min="7" max="7" width="10.28515625" bestFit="1" customWidth="1"/>
    <col min="8" max="8" width="7.42578125" bestFit="1" customWidth="1"/>
    <col min="11" max="11" width="14.85546875" bestFit="1" customWidth="1"/>
    <col min="12" max="12" width="17" customWidth="1"/>
    <col min="13" max="13" width="17" bestFit="1" customWidth="1"/>
    <col min="14" max="15" width="14.85546875" bestFit="1" customWidth="1"/>
    <col min="16" max="16" width="16.140625" bestFit="1" customWidth="1"/>
    <col min="17" max="17" width="17" bestFit="1" customWidth="1"/>
    <col min="18" max="18" width="14.85546875" bestFit="1" customWidth="1"/>
  </cols>
  <sheetData>
    <row r="2" spans="1:18" ht="16.5" x14ac:dyDescent="0.3">
      <c r="B2" s="2" t="s">
        <v>24</v>
      </c>
      <c r="C2" s="2" t="s">
        <v>21</v>
      </c>
      <c r="D2" s="2" t="s">
        <v>0</v>
      </c>
      <c r="E2" s="2" t="s">
        <v>2</v>
      </c>
      <c r="F2" s="10" t="s">
        <v>8</v>
      </c>
      <c r="G2" s="8"/>
      <c r="H2" s="8"/>
      <c r="I2" s="8"/>
      <c r="J2" s="8"/>
    </row>
    <row r="3" spans="1:18" x14ac:dyDescent="0.25">
      <c r="B3" s="7" t="e">
        <f>(données!C30+données!C31+données!C32+données!C33/2)*2</f>
        <v>#DIV/0!</v>
      </c>
      <c r="C3" s="7" t="e">
        <f>largeur_eff_semelle!B5</f>
        <v>#DIV/0!</v>
      </c>
      <c r="D3" s="2">
        <f>données!E3</f>
        <v>0</v>
      </c>
      <c r="E3" s="7">
        <f>données!H3</f>
        <v>0</v>
      </c>
      <c r="F3" s="12">
        <f>données!D6</f>
        <v>0</v>
      </c>
      <c r="G3" s="8"/>
      <c r="H3" s="8"/>
      <c r="I3" s="8"/>
      <c r="J3" s="8"/>
    </row>
    <row r="4" spans="1:18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8.75" x14ac:dyDescent="0.3">
      <c r="B5" s="13" t="s">
        <v>5</v>
      </c>
      <c r="C5" s="13" t="s">
        <v>44</v>
      </c>
      <c r="D5" s="13" t="s">
        <v>47</v>
      </c>
      <c r="E5" s="13" t="s">
        <v>45</v>
      </c>
      <c r="F5" s="13" t="s">
        <v>48</v>
      </c>
      <c r="G5" s="13" t="s">
        <v>46</v>
      </c>
      <c r="H5" s="13" t="s">
        <v>8</v>
      </c>
      <c r="I5" s="13" t="s">
        <v>49</v>
      </c>
      <c r="J5" s="8"/>
      <c r="K5" s="13" t="s">
        <v>35</v>
      </c>
      <c r="L5" s="13" t="s">
        <v>36</v>
      </c>
      <c r="M5" s="13" t="s">
        <v>37</v>
      </c>
      <c r="N5" s="13" t="s">
        <v>38</v>
      </c>
      <c r="O5" s="13" t="s">
        <v>39</v>
      </c>
      <c r="P5" s="13" t="s">
        <v>40</v>
      </c>
      <c r="Q5" s="13" t="s">
        <v>41</v>
      </c>
      <c r="R5" s="13"/>
    </row>
    <row r="6" spans="1:18" ht="18.75" x14ac:dyDescent="0.3">
      <c r="A6" s="4"/>
      <c r="B6" s="13" t="s">
        <v>81</v>
      </c>
      <c r="C6" s="14" t="e">
        <f>15*D3-données!I19</f>
        <v>#DIV/0!</v>
      </c>
      <c r="D6" s="14" t="e">
        <f>C6*$D$3</f>
        <v>#DIV/0!</v>
      </c>
      <c r="E6" s="14">
        <v>0</v>
      </c>
      <c r="F6" s="14" t="e">
        <f>D6*E6</f>
        <v>#DIV/0!</v>
      </c>
      <c r="G6" s="15" t="e">
        <f>$G$16-E6</f>
        <v>#DIV/0!</v>
      </c>
      <c r="H6" s="15">
        <f>D3</f>
        <v>0</v>
      </c>
      <c r="I6" s="7" t="e">
        <f>D6*H6^2/12+D6*G6^2</f>
        <v>#DIV/0!</v>
      </c>
      <c r="J6" s="8"/>
      <c r="K6" s="2" t="s">
        <v>42</v>
      </c>
      <c r="L6" s="2"/>
      <c r="M6" s="2" t="s">
        <v>43</v>
      </c>
      <c r="N6" s="2"/>
      <c r="O6" s="2" t="s">
        <v>101</v>
      </c>
      <c r="P6" s="2"/>
      <c r="Q6" s="2" t="s">
        <v>102</v>
      </c>
      <c r="R6" s="2"/>
    </row>
    <row r="7" spans="1:18" x14ac:dyDescent="0.25">
      <c r="A7" s="4"/>
      <c r="B7" s="13">
        <v>2</v>
      </c>
      <c r="C7" s="14" t="e">
        <f>données!C33</f>
        <v>#DIV/0!</v>
      </c>
      <c r="D7" s="14" t="e">
        <f t="shared" ref="D7:D15" si="0">C7*$D$3</f>
        <v>#DIV/0!</v>
      </c>
      <c r="E7" s="14" t="e">
        <f>données!I27</f>
        <v>#DIV/0!</v>
      </c>
      <c r="F7" s="14" t="e">
        <f t="shared" ref="F7:F15" si="1">D7*E7</f>
        <v>#DIV/0!</v>
      </c>
      <c r="G7" s="15" t="e">
        <f t="shared" ref="G7:G15" si="2">$G$16-E7</f>
        <v>#DIV/0!</v>
      </c>
      <c r="H7" s="15"/>
      <c r="I7" s="6" t="e">
        <f>D3*données!P$3^3*((données!I$17+SIN(données!I$17)*COS(données!I$17))/2-SIN(données!I$17)^2/données!I$17)+D7*G7^2</f>
        <v>#DIV/0!</v>
      </c>
      <c r="J7" s="8"/>
      <c r="K7" s="8"/>
      <c r="L7" s="8"/>
    </row>
    <row r="8" spans="1:18" x14ac:dyDescent="0.25">
      <c r="A8" s="4"/>
      <c r="B8" s="13">
        <v>3</v>
      </c>
      <c r="C8" s="14" t="e">
        <f>données!C32</f>
        <v>#DIV/0!</v>
      </c>
      <c r="D8" s="14" t="e">
        <f t="shared" si="0"/>
        <v>#DIV/0!</v>
      </c>
      <c r="E8" s="45">
        <f>données!N3/2</f>
        <v>0</v>
      </c>
      <c r="F8" s="14" t="e">
        <f t="shared" si="1"/>
        <v>#DIV/0!</v>
      </c>
      <c r="G8" s="15" t="e">
        <f t="shared" si="2"/>
        <v>#DIV/0!</v>
      </c>
      <c r="H8" s="15" t="e">
        <f>données!M32</f>
        <v>#DIV/0!</v>
      </c>
      <c r="I8" s="7" t="e">
        <f>D8*H8^2/12+D8*G8^2</f>
        <v>#DIV/0!</v>
      </c>
      <c r="J8" s="8"/>
      <c r="K8" s="8"/>
      <c r="L8" s="8"/>
    </row>
    <row r="9" spans="1:18" x14ac:dyDescent="0.25">
      <c r="A9" s="4"/>
      <c r="B9" s="13">
        <v>4</v>
      </c>
      <c r="C9" s="14" t="e">
        <f>données!C31</f>
        <v>#DIV/0!</v>
      </c>
      <c r="D9" s="14" t="e">
        <f t="shared" si="0"/>
        <v>#DIV/0!</v>
      </c>
      <c r="E9" s="16" t="e">
        <f>données!N3-données!I27</f>
        <v>#DIV/0!</v>
      </c>
      <c r="F9" s="14" t="e">
        <f t="shared" si="1"/>
        <v>#DIV/0!</v>
      </c>
      <c r="G9" s="15" t="e">
        <f t="shared" si="2"/>
        <v>#DIV/0!</v>
      </c>
      <c r="H9" s="15"/>
      <c r="I9" s="6" t="e">
        <f>D3*données!P$3^3*((données!L$17+SIN(données!L$17)*COS(données!L$17))/2-SIN(données!L$17)^2/données!L$17)+D9*G9^2</f>
        <v>#DIV/0!</v>
      </c>
      <c r="J9" s="8"/>
      <c r="K9" s="8"/>
      <c r="L9" s="8"/>
    </row>
    <row r="10" spans="1:18" x14ac:dyDescent="0.25">
      <c r="A10" s="4"/>
      <c r="B10" s="13">
        <v>5</v>
      </c>
      <c r="C10" s="14" t="e">
        <f>données!C30</f>
        <v>#DIV/0!</v>
      </c>
      <c r="D10" s="14" t="e">
        <f t="shared" si="0"/>
        <v>#DIV/0!</v>
      </c>
      <c r="E10" s="45">
        <f>données!N3</f>
        <v>0</v>
      </c>
      <c r="F10" s="14" t="e">
        <f t="shared" si="1"/>
        <v>#DIV/0!</v>
      </c>
      <c r="G10" s="15" t="e">
        <f t="shared" si="2"/>
        <v>#DIV/0!</v>
      </c>
      <c r="H10" s="15">
        <f>D3</f>
        <v>0</v>
      </c>
      <c r="I10" s="7" t="e">
        <f>D10*H10^2/12+D10*G10^2</f>
        <v>#DIV/0!</v>
      </c>
      <c r="J10" s="8"/>
      <c r="K10" s="8" t="s">
        <v>16</v>
      </c>
      <c r="L10" s="8" t="e">
        <f>F16/#REF!</f>
        <v>#DIV/0!</v>
      </c>
    </row>
    <row r="11" spans="1:18" x14ac:dyDescent="0.25">
      <c r="A11" s="4"/>
      <c r="B11" s="13">
        <v>6</v>
      </c>
      <c r="C11" s="14" t="e">
        <f>C10</f>
        <v>#DIV/0!</v>
      </c>
      <c r="D11" s="14" t="e">
        <f t="shared" si="0"/>
        <v>#DIV/0!</v>
      </c>
      <c r="E11" s="16">
        <f>E10</f>
        <v>0</v>
      </c>
      <c r="F11" s="14" t="e">
        <f t="shared" si="1"/>
        <v>#DIV/0!</v>
      </c>
      <c r="G11" s="15" t="e">
        <f t="shared" si="2"/>
        <v>#DIV/0!</v>
      </c>
      <c r="H11" s="15">
        <f>H10</f>
        <v>0</v>
      </c>
      <c r="I11" s="63" t="e">
        <f>I10</f>
        <v>#DIV/0!</v>
      </c>
      <c r="J11" s="8"/>
    </row>
    <row r="12" spans="1:18" x14ac:dyDescent="0.25">
      <c r="A12" s="4"/>
      <c r="B12" s="13">
        <v>7</v>
      </c>
      <c r="C12" s="14" t="e">
        <f>C9</f>
        <v>#DIV/0!</v>
      </c>
      <c r="D12" s="14" t="e">
        <f t="shared" si="0"/>
        <v>#DIV/0!</v>
      </c>
      <c r="E12" s="14" t="e">
        <f>E9</f>
        <v>#DIV/0!</v>
      </c>
      <c r="F12" s="14" t="e">
        <f t="shared" si="1"/>
        <v>#DIV/0!</v>
      </c>
      <c r="G12" s="15" t="e">
        <f t="shared" si="2"/>
        <v>#DIV/0!</v>
      </c>
      <c r="H12" s="14">
        <f>H9</f>
        <v>0</v>
      </c>
      <c r="I12" s="110" t="e">
        <f>I9</f>
        <v>#DIV/0!</v>
      </c>
      <c r="J12" s="8"/>
    </row>
    <row r="13" spans="1:18" x14ac:dyDescent="0.25">
      <c r="A13" s="4"/>
      <c r="B13" s="13">
        <v>8</v>
      </c>
      <c r="C13" s="14" t="e">
        <f>C8</f>
        <v>#DIV/0!</v>
      </c>
      <c r="D13" s="14" t="e">
        <f t="shared" si="0"/>
        <v>#DIV/0!</v>
      </c>
      <c r="E13" s="14">
        <f>E8</f>
        <v>0</v>
      </c>
      <c r="F13" s="14" t="e">
        <f t="shared" si="1"/>
        <v>#DIV/0!</v>
      </c>
      <c r="G13" s="15" t="e">
        <f t="shared" si="2"/>
        <v>#DIV/0!</v>
      </c>
      <c r="H13" s="14" t="e">
        <f>H8</f>
        <v>#DIV/0!</v>
      </c>
      <c r="I13" s="111" t="e">
        <f>I8</f>
        <v>#DIV/0!</v>
      </c>
      <c r="J13" s="8"/>
    </row>
    <row r="14" spans="1:18" x14ac:dyDescent="0.25">
      <c r="A14" s="4"/>
      <c r="B14" s="13">
        <v>9</v>
      </c>
      <c r="C14" s="14" t="e">
        <f>C7</f>
        <v>#DIV/0!</v>
      </c>
      <c r="D14" s="14" t="e">
        <f t="shared" si="0"/>
        <v>#DIV/0!</v>
      </c>
      <c r="E14" s="14" t="e">
        <f>E7</f>
        <v>#DIV/0!</v>
      </c>
      <c r="F14" s="14" t="e">
        <f t="shared" si="1"/>
        <v>#DIV/0!</v>
      </c>
      <c r="G14" s="15" t="e">
        <f t="shared" si="2"/>
        <v>#DIV/0!</v>
      </c>
      <c r="H14" s="14">
        <f>H7</f>
        <v>0</v>
      </c>
      <c r="I14" s="112" t="e">
        <f>I7</f>
        <v>#DIV/0!</v>
      </c>
      <c r="J14" s="8"/>
    </row>
    <row r="15" spans="1:18" x14ac:dyDescent="0.25">
      <c r="B15" s="13" t="s">
        <v>82</v>
      </c>
      <c r="C15" s="14" t="e">
        <f>15*D3-données!I19</f>
        <v>#DIV/0!</v>
      </c>
      <c r="D15" s="14" t="e">
        <f t="shared" si="0"/>
        <v>#DIV/0!</v>
      </c>
      <c r="E15" s="14">
        <v>0</v>
      </c>
      <c r="F15" s="14" t="e">
        <f t="shared" si="1"/>
        <v>#DIV/0!</v>
      </c>
      <c r="G15" s="15" t="e">
        <f t="shared" si="2"/>
        <v>#DIV/0!</v>
      </c>
      <c r="H15" s="15">
        <f>données!M34</f>
        <v>0</v>
      </c>
      <c r="I15" s="7" t="e">
        <f>D15*H15^2/12+D15*G15^2</f>
        <v>#DIV/0!</v>
      </c>
      <c r="J15" s="8"/>
    </row>
    <row r="16" spans="1:18" x14ac:dyDescent="0.25">
      <c r="B16" s="25" t="s">
        <v>6</v>
      </c>
      <c r="C16" s="16"/>
      <c r="D16" s="26" t="e">
        <f>SUM(D6:D15)</f>
        <v>#DIV/0!</v>
      </c>
      <c r="E16" s="17"/>
      <c r="F16" s="14" t="e">
        <f>SUM(F6:F15)</f>
        <v>#DIV/0!</v>
      </c>
      <c r="G16" s="17" t="e">
        <f>F16/D16</f>
        <v>#DIV/0!</v>
      </c>
      <c r="H16" s="17"/>
      <c r="I16" s="7" t="e">
        <f>SUM(I6:I15)</f>
        <v>#DIV/0!</v>
      </c>
      <c r="J16" s="8"/>
    </row>
    <row r="17" spans="1:18" x14ac:dyDescent="0.25">
      <c r="B17" s="18"/>
      <c r="C17" s="17"/>
      <c r="D17" s="17"/>
      <c r="E17" s="17"/>
      <c r="F17" s="17"/>
      <c r="G17" s="17"/>
      <c r="H17" s="17"/>
      <c r="I17" s="121"/>
      <c r="J17" s="8"/>
    </row>
    <row r="18" spans="1:18" ht="16.5" x14ac:dyDescent="0.3">
      <c r="B18" s="13" t="s">
        <v>5</v>
      </c>
      <c r="C18" s="13" t="s">
        <v>44</v>
      </c>
      <c r="D18" s="13" t="s">
        <v>47</v>
      </c>
      <c r="E18" s="13"/>
      <c r="F18" s="13"/>
      <c r="G18" s="13"/>
      <c r="H18" s="13"/>
      <c r="I18" s="13"/>
      <c r="J18" s="8"/>
      <c r="K18" s="13" t="s">
        <v>35</v>
      </c>
      <c r="L18" s="13" t="s">
        <v>36</v>
      </c>
      <c r="M18" s="13" t="s">
        <v>37</v>
      </c>
      <c r="N18" s="13" t="s">
        <v>38</v>
      </c>
      <c r="O18" s="13" t="s">
        <v>39</v>
      </c>
      <c r="P18" s="13" t="s">
        <v>40</v>
      </c>
      <c r="Q18" s="13" t="s">
        <v>41</v>
      </c>
      <c r="R18" s="13"/>
    </row>
    <row r="19" spans="1:18" ht="18.75" x14ac:dyDescent="0.3">
      <c r="A19" s="4"/>
      <c r="B19" s="13" t="s">
        <v>81</v>
      </c>
      <c r="C19" s="14" t="e">
        <f>'largeur_eff_semelle bis (4)'!O5-données!I19</f>
        <v>#DIV/0!</v>
      </c>
      <c r="D19" s="14" t="e">
        <f>C19*$D$3</f>
        <v>#DIV/0!</v>
      </c>
      <c r="E19" s="14"/>
      <c r="F19" s="14"/>
      <c r="G19" s="15"/>
      <c r="H19" s="15"/>
      <c r="I19" s="12"/>
      <c r="J19" s="8"/>
      <c r="K19" s="2" t="s">
        <v>42</v>
      </c>
      <c r="L19" s="2"/>
      <c r="M19" s="2" t="s">
        <v>43</v>
      </c>
      <c r="N19" s="2"/>
      <c r="O19" s="2" t="s">
        <v>101</v>
      </c>
      <c r="P19" s="2"/>
      <c r="Q19" s="2" t="s">
        <v>102</v>
      </c>
      <c r="R19" s="2"/>
    </row>
    <row r="20" spans="1:18" x14ac:dyDescent="0.25">
      <c r="A20" s="4"/>
      <c r="B20" s="13">
        <v>2</v>
      </c>
      <c r="C20" s="14" t="e">
        <f>C7</f>
        <v>#DIV/0!</v>
      </c>
      <c r="D20" s="14" t="e">
        <f t="shared" ref="D20:D28" si="3">C20*$D$3</f>
        <v>#DIV/0!</v>
      </c>
      <c r="E20" s="14"/>
      <c r="F20" s="14"/>
      <c r="G20" s="15"/>
      <c r="H20" s="15"/>
      <c r="I20" s="6"/>
      <c r="J20" s="8"/>
      <c r="K20" s="8"/>
      <c r="L20" s="8"/>
    </row>
    <row r="21" spans="1:18" x14ac:dyDescent="0.25">
      <c r="A21" s="4"/>
      <c r="B21" s="13">
        <v>3</v>
      </c>
      <c r="C21" s="14" t="e">
        <f t="shared" ref="C21:C27" si="4">C8</f>
        <v>#DIV/0!</v>
      </c>
      <c r="D21" s="14" t="e">
        <f t="shared" si="3"/>
        <v>#DIV/0!</v>
      </c>
      <c r="E21" s="45"/>
      <c r="F21" s="14"/>
      <c r="G21" s="15"/>
      <c r="H21" s="15"/>
      <c r="I21" s="7"/>
      <c r="J21" s="8"/>
      <c r="K21" s="8"/>
      <c r="L21" s="8"/>
    </row>
    <row r="22" spans="1:18" x14ac:dyDescent="0.25">
      <c r="A22" s="4"/>
      <c r="B22" s="13">
        <v>4</v>
      </c>
      <c r="C22" s="14" t="e">
        <f t="shared" si="4"/>
        <v>#DIV/0!</v>
      </c>
      <c r="D22" s="14" t="e">
        <f t="shared" si="3"/>
        <v>#DIV/0!</v>
      </c>
      <c r="E22" s="16"/>
      <c r="F22" s="14"/>
      <c r="G22" s="15"/>
      <c r="H22" s="15"/>
      <c r="I22" s="6"/>
      <c r="J22" s="8"/>
      <c r="K22" s="8"/>
      <c r="L22" s="8"/>
    </row>
    <row r="23" spans="1:18" x14ac:dyDescent="0.25">
      <c r="A23" s="4"/>
      <c r="B23" s="13">
        <v>5</v>
      </c>
      <c r="C23" s="14" t="e">
        <f t="shared" si="4"/>
        <v>#DIV/0!</v>
      </c>
      <c r="D23" s="14" t="e">
        <f t="shared" si="3"/>
        <v>#DIV/0!</v>
      </c>
      <c r="E23" s="45"/>
      <c r="F23" s="14"/>
      <c r="G23" s="15"/>
      <c r="H23" s="15"/>
      <c r="I23" s="7"/>
      <c r="J23" s="8"/>
      <c r="K23" s="8" t="s">
        <v>16</v>
      </c>
      <c r="L23" s="8" t="e">
        <f>F29/#REF!</f>
        <v>#REF!</v>
      </c>
    </row>
    <row r="24" spans="1:18" x14ac:dyDescent="0.25">
      <c r="A24" s="4"/>
      <c r="B24" s="13">
        <v>6</v>
      </c>
      <c r="C24" s="14" t="e">
        <f t="shared" si="4"/>
        <v>#DIV/0!</v>
      </c>
      <c r="D24" s="14" t="e">
        <f t="shared" si="3"/>
        <v>#DIV/0!</v>
      </c>
      <c r="E24" s="16"/>
      <c r="F24" s="14"/>
      <c r="G24" s="15"/>
      <c r="H24" s="15"/>
      <c r="I24" s="63"/>
      <c r="J24" s="8"/>
    </row>
    <row r="25" spans="1:18" x14ac:dyDescent="0.25">
      <c r="A25" s="4"/>
      <c r="B25" s="13">
        <v>7</v>
      </c>
      <c r="C25" s="14" t="e">
        <f t="shared" si="4"/>
        <v>#DIV/0!</v>
      </c>
      <c r="D25" s="14" t="e">
        <f t="shared" si="3"/>
        <v>#DIV/0!</v>
      </c>
      <c r="E25" s="14"/>
      <c r="F25" s="14"/>
      <c r="G25" s="15"/>
      <c r="H25" s="14"/>
      <c r="I25" s="110"/>
      <c r="J25" s="8"/>
    </row>
    <row r="26" spans="1:18" x14ac:dyDescent="0.25">
      <c r="A26" s="4"/>
      <c r="B26" s="13">
        <v>8</v>
      </c>
      <c r="C26" s="14" t="e">
        <f t="shared" si="4"/>
        <v>#DIV/0!</v>
      </c>
      <c r="D26" s="14" t="e">
        <f t="shared" si="3"/>
        <v>#DIV/0!</v>
      </c>
      <c r="E26" s="14"/>
      <c r="F26" s="14"/>
      <c r="G26" s="15"/>
      <c r="H26" s="14"/>
      <c r="I26" s="111"/>
      <c r="J26" s="8"/>
    </row>
    <row r="27" spans="1:18" x14ac:dyDescent="0.25">
      <c r="A27" s="4"/>
      <c r="B27" s="13">
        <v>9</v>
      </c>
      <c r="C27" s="14" t="e">
        <f t="shared" si="4"/>
        <v>#DIV/0!</v>
      </c>
      <c r="D27" s="14" t="e">
        <f t="shared" si="3"/>
        <v>#DIV/0!</v>
      </c>
      <c r="E27" s="14"/>
      <c r="F27" s="14"/>
      <c r="G27" s="15"/>
      <c r="H27" s="14"/>
      <c r="I27" s="112"/>
      <c r="J27" s="8"/>
    </row>
    <row r="28" spans="1:18" x14ac:dyDescent="0.25">
      <c r="B28" s="13" t="s">
        <v>82</v>
      </c>
      <c r="C28" s="14" t="e">
        <f>'largeur_eff_semelle bis (4)'!O5-données!I19</f>
        <v>#DIV/0!</v>
      </c>
      <c r="D28" s="14" t="e">
        <f t="shared" si="3"/>
        <v>#DIV/0!</v>
      </c>
      <c r="E28" s="14"/>
      <c r="F28" s="14"/>
      <c r="G28" s="15"/>
      <c r="H28" s="15"/>
      <c r="I28" s="66"/>
      <c r="J28" s="8"/>
    </row>
    <row r="29" spans="1:18" x14ac:dyDescent="0.25">
      <c r="B29" s="25" t="s">
        <v>6</v>
      </c>
      <c r="C29" s="16"/>
      <c r="D29" s="26" t="e">
        <f>SUM(D19:D28)</f>
        <v>#DIV/0!</v>
      </c>
      <c r="E29" s="17"/>
      <c r="F29" s="14"/>
      <c r="G29" s="17"/>
      <c r="H29" s="17"/>
      <c r="I29" s="7"/>
      <c r="J29" s="8"/>
    </row>
    <row r="30" spans="1:18" x14ac:dyDescent="0.25">
      <c r="B30" s="18"/>
      <c r="C30" s="17"/>
      <c r="D30" s="17"/>
      <c r="E30" s="17"/>
      <c r="F30" s="17"/>
      <c r="G30" s="17"/>
      <c r="H30" s="17"/>
      <c r="I30" s="121"/>
      <c r="J30" s="8"/>
    </row>
    <row r="31" spans="1:18" x14ac:dyDescent="0.25">
      <c r="B31" s="18"/>
      <c r="C31" s="18"/>
      <c r="D31" s="18"/>
      <c r="E31" s="18"/>
      <c r="F31" s="18"/>
      <c r="G31" s="18"/>
      <c r="H31" s="19"/>
      <c r="I31" s="19"/>
      <c r="J31" s="19"/>
      <c r="K31" s="8"/>
      <c r="L31" s="8"/>
    </row>
    <row r="32" spans="1:18" ht="16.5" x14ac:dyDescent="0.3">
      <c r="B32" s="2" t="s">
        <v>111</v>
      </c>
      <c r="C32" s="2"/>
      <c r="D32" s="2" t="s">
        <v>25</v>
      </c>
      <c r="E32" s="2" t="s">
        <v>26</v>
      </c>
      <c r="F32" s="2" t="s">
        <v>27</v>
      </c>
      <c r="G32" s="2" t="s">
        <v>28</v>
      </c>
      <c r="H32" s="2" t="s">
        <v>107</v>
      </c>
      <c r="I32" s="2" t="s">
        <v>29</v>
      </c>
      <c r="J32" s="8"/>
      <c r="K32" s="8"/>
      <c r="L32" s="8"/>
    </row>
    <row r="33" spans="2:12" x14ac:dyDescent="0.25">
      <c r="B33" s="7" t="e">
        <f>2*C3+B3</f>
        <v>#DIV/0!</v>
      </c>
      <c r="C33" s="7"/>
      <c r="D33" s="7">
        <f>données!D15</f>
        <v>0</v>
      </c>
      <c r="E33" s="7" t="e">
        <f>données!M3</f>
        <v>#DIV/0!</v>
      </c>
      <c r="F33" s="7" t="e">
        <f>3.07*(I16*C3^2*(2*C3+3*B3)/D3^3)^0.25</f>
        <v>#DIV/0!</v>
      </c>
      <c r="G33" s="7" t="e">
        <f>F33/E33</f>
        <v>#DIV/0!</v>
      </c>
      <c r="H33" s="7" t="e">
        <f>((E33+2*B33)/(E33+0.5*B33))^0.5</f>
        <v>#DIV/0!</v>
      </c>
      <c r="I33" s="67" t="e">
        <f>IF(G33&gt;2,H33,(H33-(H33-1)*(2*F33/E33-(F33/E33)^2)))</f>
        <v>#DIV/0!</v>
      </c>
      <c r="J33" s="8"/>
      <c r="K33" s="8"/>
      <c r="L33" s="8"/>
    </row>
    <row r="34" spans="2:12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2:12" ht="16.5" x14ac:dyDescent="0.3">
      <c r="B35" s="2" t="s">
        <v>50</v>
      </c>
      <c r="C35" s="8"/>
      <c r="D35" s="8"/>
      <c r="E35" s="8"/>
      <c r="F35" s="8"/>
      <c r="G35" s="8"/>
      <c r="H35" s="8"/>
      <c r="I35" s="8"/>
      <c r="J35" s="8"/>
      <c r="K35" s="8"/>
    </row>
    <row r="36" spans="2:12" x14ac:dyDescent="0.25">
      <c r="B36" s="7" t="e">
        <f>4.2*I33*E3/D29*(I16*D3^3/4/C3^2/(2*C3+3*B3))^0.5</f>
        <v>#DIV/0!</v>
      </c>
      <c r="C36" s="8"/>
      <c r="D36" s="8"/>
      <c r="E36" s="8"/>
      <c r="F36" s="8"/>
      <c r="G36" s="8"/>
      <c r="H36" s="8"/>
      <c r="I36" s="8"/>
      <c r="J36" s="8"/>
      <c r="K36" s="8"/>
    </row>
    <row r="38" spans="2:12" ht="16.5" x14ac:dyDescent="0.3">
      <c r="B38" s="2" t="s">
        <v>20</v>
      </c>
      <c r="C38" s="2" t="s">
        <v>10</v>
      </c>
      <c r="D38" s="2" t="s">
        <v>108</v>
      </c>
      <c r="E38" s="2" t="s">
        <v>109</v>
      </c>
    </row>
    <row r="39" spans="2:12" x14ac:dyDescent="0.25">
      <c r="B39" s="6">
        <f>données!G3</f>
        <v>0</v>
      </c>
      <c r="C39" s="11" t="e">
        <f>(B39/B36)^0.5</f>
        <v>#DIV/0!</v>
      </c>
      <c r="D39" t="e">
        <f>IF(C39&lt;0.65,1,(1.47-0.723*C39))</f>
        <v>#DIV/0!</v>
      </c>
      <c r="E39" t="e">
        <f>IF(C39&gt;1.38,0.66/C39,D39)</f>
        <v>#DIV/0!</v>
      </c>
    </row>
    <row r="41" spans="2:12" ht="16.5" x14ac:dyDescent="0.3">
      <c r="B41" s="7" t="s">
        <v>11</v>
      </c>
      <c r="C41" s="13" t="s">
        <v>56</v>
      </c>
      <c r="E41" s="2" t="s">
        <v>142</v>
      </c>
    </row>
    <row r="42" spans="2:12" x14ac:dyDescent="0.25">
      <c r="B42" s="68" t="e">
        <f>E39</f>
        <v>#DIV/0!</v>
      </c>
      <c r="C42" s="14" t="e">
        <f>B42*données!E3</f>
        <v>#DIV/0!</v>
      </c>
      <c r="E42" s="74" t="e">
        <f>B39/'largeur_eff_semelle (4)'!K5/'largeur_eff_semelle (4)'!J5</f>
        <v>#DIV/0!</v>
      </c>
      <c r="G42" s="74" t="e">
        <f>B42*E42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windowProtection="1" topLeftCell="A2" workbookViewId="0">
      <selection activeCell="B11" sqref="B11:F20"/>
    </sheetView>
  </sheetViews>
  <sheetFormatPr baseColWidth="10" defaultRowHeight="15" x14ac:dyDescent="0.25"/>
  <cols>
    <col min="6" max="6" width="11.42578125" customWidth="1"/>
  </cols>
  <sheetData>
    <row r="2" spans="2:9" ht="16.5" x14ac:dyDescent="0.3">
      <c r="B2" s="2" t="s">
        <v>0</v>
      </c>
      <c r="C2" s="2" t="s">
        <v>2</v>
      </c>
      <c r="D2" s="2" t="s">
        <v>20</v>
      </c>
      <c r="E2" s="41" t="s">
        <v>79</v>
      </c>
      <c r="F2" s="40" t="s">
        <v>78</v>
      </c>
      <c r="G2" s="2" t="s">
        <v>83</v>
      </c>
      <c r="H2" s="2" t="s">
        <v>33</v>
      </c>
      <c r="I2" s="8"/>
    </row>
    <row r="3" spans="2:9" x14ac:dyDescent="0.25">
      <c r="B3" s="2">
        <f>données!E3</f>
        <v>0</v>
      </c>
      <c r="C3" s="7">
        <f>données!H3</f>
        <v>0</v>
      </c>
      <c r="D3" s="46">
        <f>données!G3</f>
        <v>0</v>
      </c>
      <c r="E3" s="11">
        <v>1</v>
      </c>
      <c r="F3" s="11" t="e">
        <f>MIN(D3,D3*(données!L3-résistance_section!H32)/résistance_section!H32)</f>
        <v>#DIV/0!</v>
      </c>
      <c r="G3" s="7" t="e">
        <f>données!L3-résistance_section!H32</f>
        <v>#DIV/0!</v>
      </c>
      <c r="H3" s="2" t="e">
        <f>G3/SIN(données!B3)-données!C20</f>
        <v>#DIV/0!</v>
      </c>
      <c r="I3" s="8"/>
    </row>
    <row r="4" spans="2:9" x14ac:dyDescent="0.25">
      <c r="B4" s="8"/>
      <c r="C4" s="8"/>
      <c r="D4" s="8"/>
      <c r="E4" s="8"/>
      <c r="F4" s="8"/>
      <c r="G4" s="8"/>
      <c r="H4" s="8"/>
    </row>
    <row r="5" spans="2:9" ht="16.5" x14ac:dyDescent="0.3">
      <c r="B5" s="2" t="s">
        <v>30</v>
      </c>
      <c r="C5" s="2" t="s">
        <v>31</v>
      </c>
      <c r="D5" s="2" t="s">
        <v>112</v>
      </c>
      <c r="E5" s="2" t="s">
        <v>113</v>
      </c>
      <c r="F5" s="8" t="s">
        <v>114</v>
      </c>
      <c r="G5" s="8"/>
      <c r="H5" s="8"/>
    </row>
    <row r="6" spans="2:9" x14ac:dyDescent="0.25">
      <c r="B6" s="66" t="e">
        <f>0.95*B3*(C3/F3/E3)^0.5</f>
        <v>#DIV/0!</v>
      </c>
      <c r="C6" s="66" t="e">
        <f>B6</f>
        <v>#DIV/0!</v>
      </c>
      <c r="D6" s="7" t="e">
        <f>1.5*C6</f>
        <v>#DIV/0!</v>
      </c>
      <c r="E6" s="9" t="e">
        <f>C6+D6</f>
        <v>#DIV/0!</v>
      </c>
      <c r="F6" s="8"/>
      <c r="G6" s="69" t="s">
        <v>177</v>
      </c>
      <c r="H6" s="8"/>
    </row>
    <row r="7" spans="2:9" x14ac:dyDescent="0.25">
      <c r="B7" s="8"/>
      <c r="C7" s="8"/>
      <c r="D7" s="8"/>
      <c r="E7" s="8"/>
      <c r="F7" s="8"/>
      <c r="G7" s="8"/>
      <c r="H7" s="8"/>
    </row>
    <row r="8" spans="2:9" x14ac:dyDescent="0.25">
      <c r="B8" s="113" t="s">
        <v>9</v>
      </c>
      <c r="C8" s="69"/>
      <c r="D8" s="69"/>
      <c r="E8" s="69"/>
      <c r="F8" s="8"/>
      <c r="G8" s="8"/>
      <c r="H8" s="8"/>
    </row>
    <row r="9" spans="2:9" x14ac:dyDescent="0.25">
      <c r="B9" s="8"/>
      <c r="C9" s="8"/>
      <c r="D9" s="8"/>
      <c r="E9" s="8"/>
      <c r="F9" s="8"/>
      <c r="G9" s="8"/>
      <c r="H9" s="8"/>
    </row>
    <row r="10" spans="2:9" ht="18.75" x14ac:dyDescent="0.3">
      <c r="B10" s="13" t="s">
        <v>5</v>
      </c>
      <c r="C10" s="13" t="s">
        <v>44</v>
      </c>
      <c r="D10" s="13" t="s">
        <v>47</v>
      </c>
      <c r="E10" s="13" t="s">
        <v>45</v>
      </c>
      <c r="F10" s="13" t="s">
        <v>48</v>
      </c>
      <c r="G10" s="13" t="s">
        <v>32</v>
      </c>
      <c r="H10" s="8"/>
    </row>
    <row r="11" spans="2:9" x14ac:dyDescent="0.25">
      <c r="B11" s="43">
        <v>1</v>
      </c>
      <c r="C11" s="44" t="e">
        <f>données!C30</f>
        <v>#DIV/0!</v>
      </c>
      <c r="D11" s="44" t="e">
        <f>C11*$B$3</f>
        <v>#DIV/0!</v>
      </c>
      <c r="E11" s="44">
        <v>0</v>
      </c>
      <c r="F11" s="44" t="e">
        <f>D11*E11</f>
        <v>#DIV/0!</v>
      </c>
      <c r="G11" s="18"/>
      <c r="H11" s="8"/>
    </row>
    <row r="12" spans="2:9" x14ac:dyDescent="0.25">
      <c r="B12" s="43">
        <v>2</v>
      </c>
      <c r="C12" s="44" t="e">
        <f>données!#REF!</f>
        <v>#REF!</v>
      </c>
      <c r="D12" s="44" t="e">
        <f>C12*$B$3</f>
        <v>#REF!</v>
      </c>
      <c r="E12" s="43" t="e">
        <f>données!#REF!/2</f>
        <v>#REF!</v>
      </c>
      <c r="F12" s="44" t="e">
        <f>D12*E12</f>
        <v>#REF!</v>
      </c>
      <c r="G12" s="18"/>
      <c r="H12" s="8"/>
    </row>
    <row r="13" spans="2:9" x14ac:dyDescent="0.25">
      <c r="B13" s="43">
        <v>3</v>
      </c>
      <c r="C13" s="44">
        <f>données!C6</f>
        <v>0</v>
      </c>
      <c r="D13" s="44">
        <f>C13*$B$3</f>
        <v>0</v>
      </c>
      <c r="E13" s="43">
        <f>données!D6/2</f>
        <v>0</v>
      </c>
      <c r="F13" s="44">
        <f>D13*E13</f>
        <v>0</v>
      </c>
      <c r="G13" s="18"/>
      <c r="H13" s="8"/>
    </row>
    <row r="14" spans="2:9" x14ac:dyDescent="0.25">
      <c r="B14" s="43">
        <v>4</v>
      </c>
      <c r="C14" s="44" t="e">
        <f>largeur_eff_semelle!O5</f>
        <v>#DIV/0!</v>
      </c>
      <c r="D14" s="44" t="e">
        <f>C14*$B$3</f>
        <v>#DIV/0!</v>
      </c>
      <c r="E14" s="44">
        <v>0</v>
      </c>
      <c r="F14" s="44" t="e">
        <f>D14*E14</f>
        <v>#DIV/0!</v>
      </c>
      <c r="G14" s="8"/>
      <c r="H14" s="8"/>
    </row>
    <row r="15" spans="2:9" x14ac:dyDescent="0.25">
      <c r="B15" s="43">
        <v>5</v>
      </c>
      <c r="C15" s="44" t="e">
        <f>largeur_eff_semelle!O5</f>
        <v>#DIV/0!</v>
      </c>
      <c r="D15" s="44" t="e">
        <f t="shared" ref="D15:D20" si="0">C15*$B$3</f>
        <v>#DIV/0!</v>
      </c>
      <c r="E15" s="44">
        <f>F8/2</f>
        <v>0</v>
      </c>
      <c r="F15" s="44" t="e">
        <f t="shared" ref="F15:F20" si="1">D15*E15</f>
        <v>#DIV/0!</v>
      </c>
      <c r="G15" s="8"/>
      <c r="H15" s="8"/>
    </row>
    <row r="16" spans="2:9" x14ac:dyDescent="0.25">
      <c r="B16" s="43">
        <v>6</v>
      </c>
      <c r="C16" s="44">
        <f>données!C8</f>
        <v>0</v>
      </c>
      <c r="D16" s="44">
        <f t="shared" si="0"/>
        <v>0</v>
      </c>
      <c r="E16" s="49">
        <f>données!D8/2</f>
        <v>0</v>
      </c>
      <c r="F16" s="44">
        <f t="shared" si="1"/>
        <v>0</v>
      </c>
      <c r="G16" s="8"/>
      <c r="H16" s="8"/>
    </row>
    <row r="17" spans="2:8" x14ac:dyDescent="0.25">
      <c r="B17" s="43">
        <v>7</v>
      </c>
      <c r="C17" s="44">
        <f>données!C9</f>
        <v>0</v>
      </c>
      <c r="D17" s="44">
        <f t="shared" si="0"/>
        <v>0</v>
      </c>
      <c r="E17" s="44">
        <f>données!D8+données!D9/2</f>
        <v>0</v>
      </c>
      <c r="F17" s="44">
        <f t="shared" si="1"/>
        <v>0</v>
      </c>
      <c r="G17" s="8"/>
      <c r="H17" s="8"/>
    </row>
    <row r="18" spans="2:8" x14ac:dyDescent="0.25">
      <c r="B18" s="43">
        <v>8</v>
      </c>
      <c r="C18" s="50">
        <f>données!C11</f>
        <v>0</v>
      </c>
      <c r="D18" s="44">
        <f>C18*$B$3</f>
        <v>0</v>
      </c>
      <c r="E18" s="44">
        <f>données!D8+données!D9+données!D11/2</f>
        <v>0</v>
      </c>
      <c r="F18" s="44">
        <f t="shared" si="1"/>
        <v>0</v>
      </c>
      <c r="G18" s="8"/>
      <c r="H18" s="8"/>
    </row>
    <row r="19" spans="2:8" x14ac:dyDescent="0.25">
      <c r="B19" s="43">
        <v>9</v>
      </c>
      <c r="C19" s="50">
        <f>données!C13</f>
        <v>0</v>
      </c>
      <c r="D19" s="44">
        <f t="shared" si="0"/>
        <v>0</v>
      </c>
      <c r="E19" s="44">
        <f>données!D15</f>
        <v>0</v>
      </c>
      <c r="F19" s="44">
        <f t="shared" si="1"/>
        <v>0</v>
      </c>
      <c r="G19" s="8"/>
      <c r="H19" s="8"/>
    </row>
    <row r="20" spans="2:8" x14ac:dyDescent="0.25">
      <c r="B20" s="43">
        <v>10</v>
      </c>
      <c r="C20" s="50">
        <f>données!C14</f>
        <v>0</v>
      </c>
      <c r="D20" s="44">
        <f t="shared" si="0"/>
        <v>0</v>
      </c>
      <c r="E20" s="44">
        <f>données!D15-données!D14/2</f>
        <v>0</v>
      </c>
      <c r="F20" s="44">
        <f t="shared" si="1"/>
        <v>0</v>
      </c>
      <c r="G20" s="8"/>
      <c r="H20" s="8"/>
    </row>
    <row r="21" spans="2:8" x14ac:dyDescent="0.25">
      <c r="B21" s="13" t="s">
        <v>6</v>
      </c>
      <c r="C21" s="8"/>
      <c r="D21" s="7" t="e">
        <f>SUM(D11:D20)</f>
        <v>#DIV/0!</v>
      </c>
      <c r="E21" s="8"/>
      <c r="F21" s="7" t="e">
        <f>SUM(F11:F20)</f>
        <v>#DIV/0!</v>
      </c>
      <c r="G21" s="7" t="e">
        <f>F21/D21</f>
        <v>#DIV/0!</v>
      </c>
      <c r="H21" s="8"/>
    </row>
    <row r="22" spans="2:8" x14ac:dyDescent="0.25">
      <c r="B22" s="8"/>
      <c r="C22" s="8"/>
      <c r="D22" s="8"/>
      <c r="E22" s="8"/>
      <c r="F22" s="8"/>
      <c r="G22" s="8"/>
      <c r="H22" s="8"/>
    </row>
    <row r="23" spans="2:8" ht="16.5" x14ac:dyDescent="0.3">
      <c r="B23" s="2" t="s">
        <v>133</v>
      </c>
      <c r="C23" s="2" t="s">
        <v>134</v>
      </c>
      <c r="D23" s="8"/>
      <c r="E23" s="8"/>
      <c r="F23" s="8"/>
      <c r="G23" s="8"/>
      <c r="H23" s="10" t="s">
        <v>112</v>
      </c>
    </row>
    <row r="24" spans="2:8" x14ac:dyDescent="0.25">
      <c r="B24" s="7">
        <f>données!D8</f>
        <v>0</v>
      </c>
      <c r="C24" s="7" t="e">
        <f>(1+0.5*B24/G21)*B6</f>
        <v>#DIV/0!</v>
      </c>
      <c r="D24" s="8"/>
      <c r="E24" s="8"/>
      <c r="F24" s="8"/>
      <c r="G24" s="8"/>
      <c r="H24" s="7" t="e">
        <f>D27/(C27+D27)*E27</f>
        <v>#DIV/0!</v>
      </c>
    </row>
    <row r="25" spans="2:8" x14ac:dyDescent="0.25">
      <c r="B25" s="8"/>
      <c r="C25" s="8"/>
      <c r="D25" s="8"/>
      <c r="E25" s="8"/>
      <c r="F25" s="8"/>
      <c r="G25" s="8"/>
      <c r="H25" s="114"/>
    </row>
    <row r="26" spans="2:8" ht="16.5" x14ac:dyDescent="0.3">
      <c r="B26" s="2" t="s">
        <v>135</v>
      </c>
      <c r="C26" s="2" t="s">
        <v>136</v>
      </c>
      <c r="D26" s="2" t="s">
        <v>112</v>
      </c>
      <c r="E26" s="2" t="s">
        <v>33</v>
      </c>
      <c r="F26" s="2" t="s">
        <v>137</v>
      </c>
      <c r="G26" s="10" t="s">
        <v>136</v>
      </c>
      <c r="H26" s="114"/>
    </row>
    <row r="27" spans="2:8" x14ac:dyDescent="0.25">
      <c r="B27" s="7">
        <f>données!F7</f>
        <v>0</v>
      </c>
      <c r="C27" s="7" t="e">
        <f>(1+0.5*(B24+B27)/G21)*B6</f>
        <v>#DIV/0!</v>
      </c>
      <c r="D27" s="7" t="e">
        <f>1.5*B6</f>
        <v>#DIV/0!</v>
      </c>
      <c r="E27" s="7" t="e">
        <f>C6+D28+D27+E32</f>
        <v>#DIV/0!</v>
      </c>
      <c r="F27" s="7" t="e">
        <f>C27+D27</f>
        <v>#DIV/0!</v>
      </c>
      <c r="G27" s="7" t="e">
        <f>C27/(C27+D27)*E27</f>
        <v>#DIV/0!</v>
      </c>
      <c r="H27" s="114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2"/>
  <sheetViews>
    <sheetView windowProtection="1" topLeftCell="A13" workbookViewId="0">
      <selection activeCell="J13" sqref="J13"/>
    </sheetView>
  </sheetViews>
  <sheetFormatPr baseColWidth="10" defaultRowHeight="15" x14ac:dyDescent="0.25"/>
  <cols>
    <col min="2" max="2" width="11.42578125" bestFit="1" customWidth="1"/>
  </cols>
  <sheetData>
    <row r="2" spans="1:17" ht="16.5" x14ac:dyDescent="0.3">
      <c r="B2" s="2" t="s">
        <v>0</v>
      </c>
      <c r="C2" s="2" t="s">
        <v>2</v>
      </c>
      <c r="D2" s="2" t="s">
        <v>20</v>
      </c>
      <c r="E2" s="8"/>
      <c r="F2" s="8"/>
      <c r="G2" s="8"/>
      <c r="H2" s="8"/>
      <c r="I2" s="8"/>
      <c r="J2" s="8"/>
      <c r="K2" s="8"/>
    </row>
    <row r="3" spans="1:17" x14ac:dyDescent="0.25">
      <c r="B3" s="2">
        <f>données!E3</f>
        <v>0</v>
      </c>
      <c r="C3" s="7">
        <f>données!H3</f>
        <v>0</v>
      </c>
      <c r="D3" s="6">
        <f>données!G3</f>
        <v>0</v>
      </c>
      <c r="E3" s="8"/>
      <c r="F3" s="8"/>
      <c r="G3" s="8"/>
      <c r="H3" s="8"/>
      <c r="I3" s="8"/>
      <c r="J3" s="8"/>
      <c r="K3" s="8"/>
    </row>
    <row r="4" spans="1:17" x14ac:dyDescent="0.25">
      <c r="B4" s="8"/>
      <c r="C4" s="8"/>
      <c r="D4" s="8"/>
      <c r="E4" s="8"/>
      <c r="F4" s="8"/>
      <c r="G4" s="8"/>
      <c r="H4" s="8"/>
      <c r="I4" s="8"/>
      <c r="J4" s="8"/>
      <c r="K4" s="8"/>
    </row>
    <row r="5" spans="1:17" ht="16.5" x14ac:dyDescent="0.3">
      <c r="B5" s="72" t="s">
        <v>92</v>
      </c>
      <c r="C5" s="72" t="s">
        <v>91</v>
      </c>
      <c r="D5" s="72" t="s">
        <v>85</v>
      </c>
      <c r="E5" s="72" t="s">
        <v>88</v>
      </c>
      <c r="F5" s="72" t="s">
        <v>91</v>
      </c>
      <c r="G5" s="8" t="s">
        <v>110</v>
      </c>
      <c r="H5" s="8"/>
      <c r="I5" s="8"/>
      <c r="J5" s="8"/>
      <c r="K5" s="8"/>
    </row>
    <row r="6" spans="1:17" x14ac:dyDescent="0.25">
      <c r="B6" s="73" t="e">
        <f>0.76*B3*(C3/D3)^0.5</f>
        <v>#DIV/0!</v>
      </c>
      <c r="C6" s="73" t="e">
        <f>B6</f>
        <v>#DIV/0!</v>
      </c>
      <c r="D6" s="73" t="e">
        <f>largeur_eff_ame!C24</f>
        <v>#REF!</v>
      </c>
      <c r="E6" s="72" t="e">
        <f>largeur_eff_ame!G27</f>
        <v>#REF!</v>
      </c>
      <c r="F6" s="72"/>
      <c r="G6" s="8"/>
      <c r="H6" s="8"/>
      <c r="I6" s="8"/>
      <c r="J6" s="8"/>
      <c r="K6" s="8"/>
    </row>
    <row r="7" spans="1:17" x14ac:dyDescent="0.25">
      <c r="B7" s="8"/>
      <c r="C7" s="8"/>
      <c r="D7" s="8"/>
      <c r="E7" s="8"/>
      <c r="F7" s="8"/>
      <c r="G7" s="8"/>
      <c r="H7" s="8"/>
      <c r="I7" s="8"/>
      <c r="J7" s="8"/>
      <c r="K7" s="8"/>
    </row>
    <row r="8" spans="1:17" x14ac:dyDescent="0.25">
      <c r="B8" s="20" t="s">
        <v>9</v>
      </c>
      <c r="C8" s="8"/>
      <c r="D8" s="8"/>
      <c r="E8" s="8"/>
      <c r="F8" s="8"/>
      <c r="G8" s="8"/>
      <c r="H8" s="8"/>
      <c r="I8" s="8"/>
      <c r="J8" s="8"/>
      <c r="K8" s="8"/>
    </row>
    <row r="9" spans="1:17" x14ac:dyDescent="0.25">
      <c r="B9" s="8"/>
      <c r="C9" s="8"/>
      <c r="D9" s="8"/>
      <c r="E9" s="8"/>
      <c r="F9" s="8"/>
      <c r="G9" s="8"/>
      <c r="H9" s="8"/>
      <c r="I9" s="8"/>
      <c r="J9" s="8"/>
      <c r="K9" s="8"/>
    </row>
    <row r="10" spans="1:17" ht="18.75" x14ac:dyDescent="0.3">
      <c r="B10" s="13" t="s">
        <v>5</v>
      </c>
      <c r="C10" s="13" t="s">
        <v>44</v>
      </c>
      <c r="D10" s="13" t="s">
        <v>51</v>
      </c>
      <c r="E10" s="13" t="s">
        <v>47</v>
      </c>
      <c r="F10" s="13" t="s">
        <v>45</v>
      </c>
      <c r="G10" s="13" t="s">
        <v>48</v>
      </c>
      <c r="H10" s="13" t="s">
        <v>46</v>
      </c>
      <c r="I10" s="21" t="s">
        <v>8</v>
      </c>
      <c r="J10" s="13" t="s">
        <v>49</v>
      </c>
      <c r="K10" s="22" t="s">
        <v>12</v>
      </c>
      <c r="M10" s="13" t="s">
        <v>5</v>
      </c>
      <c r="N10" s="21" t="s">
        <v>8</v>
      </c>
      <c r="O10" s="13" t="s">
        <v>49</v>
      </c>
    </row>
    <row r="11" spans="1:17" x14ac:dyDescent="0.25">
      <c r="B11" s="13">
        <v>0</v>
      </c>
      <c r="C11" s="13">
        <f>données!Q4/2</f>
        <v>0</v>
      </c>
      <c r="D11" s="123" t="e">
        <f>'raidisseur bis (4)'!B$42*$B$3*données!P4</f>
        <v>#DIV/0!</v>
      </c>
      <c r="E11" s="117" t="e">
        <f>C11*D11*'raidisseur bis (4)'!E$42</f>
        <v>#DIV/0!</v>
      </c>
      <c r="F11" s="14">
        <f>données!J30+données!R5</f>
        <v>0</v>
      </c>
      <c r="G11" s="14" t="e">
        <f>E11*F11</f>
        <v>#DIV/0!</v>
      </c>
      <c r="H11" s="7" t="e">
        <f>$H$32-F11</f>
        <v>#DIV/0!</v>
      </c>
      <c r="I11" s="28">
        <f>données!M30</f>
        <v>0</v>
      </c>
      <c r="J11" s="7" t="e">
        <f t="shared" ref="J11" si="0">E11*I11^2/12+E11*H11^2</f>
        <v>#DIV/0!</v>
      </c>
      <c r="K11" s="27"/>
      <c r="M11" s="13"/>
      <c r="N11" s="21"/>
      <c r="O11" s="13"/>
    </row>
    <row r="12" spans="1:17" x14ac:dyDescent="0.25">
      <c r="A12" s="87" t="e">
        <f>C12*B$3</f>
        <v>#DIV/0!</v>
      </c>
      <c r="B12" s="13">
        <v>1</v>
      </c>
      <c r="C12" s="14" t="e">
        <f>données!C30-C11</f>
        <v>#DIV/0!</v>
      </c>
      <c r="D12" s="68" t="e">
        <f>'raidisseur bis (4)'!B$42*$B$3</f>
        <v>#DIV/0!</v>
      </c>
      <c r="E12" s="117" t="e">
        <f>MIN(C12*D12*'raidisseur bis (4)'!E$42,A12)</f>
        <v>#DIV/0!</v>
      </c>
      <c r="F12" s="14">
        <f>données!J30</f>
        <v>0</v>
      </c>
      <c r="G12" s="14" t="e">
        <f>E12*F12</f>
        <v>#DIV/0!</v>
      </c>
      <c r="H12" s="7" t="e">
        <f t="shared" ref="H12:H31" si="1">$H$32-F12</f>
        <v>#DIV/0!</v>
      </c>
      <c r="I12" s="28">
        <f>données!M30</f>
        <v>0</v>
      </c>
      <c r="J12" s="7" t="e">
        <f t="shared" ref="J12" si="2">E12*I12^2/12+E12*H12^2</f>
        <v>#DIV/0!</v>
      </c>
      <c r="K12" s="27"/>
      <c r="M12" s="13">
        <v>1</v>
      </c>
      <c r="N12" s="3">
        <f>I12</f>
        <v>0</v>
      </c>
      <c r="O12" s="3" t="e">
        <f>J12</f>
        <v>#DIV/0!</v>
      </c>
      <c r="Q12" s="87">
        <v>5978.750489348753</v>
      </c>
    </row>
    <row r="13" spans="1:17" x14ac:dyDescent="0.25">
      <c r="A13" s="87" t="e">
        <f t="shared" ref="A13:A16" si="3">C13*B$3</f>
        <v>#DIV/0!</v>
      </c>
      <c r="B13" s="13">
        <v>2</v>
      </c>
      <c r="C13" s="14" t="e">
        <f>données!C31</f>
        <v>#DIV/0!</v>
      </c>
      <c r="D13" s="68" t="e">
        <f>'raidisseur bis (4)'!B$42*$B$3</f>
        <v>#DIV/0!</v>
      </c>
      <c r="E13" s="117" t="e">
        <f>MIN(C13*D13*'raidisseur bis (4)'!E$42,A13)</f>
        <v>#DIV/0!</v>
      </c>
      <c r="F13" s="14" t="e">
        <f>données!J31</f>
        <v>#DIV/0!</v>
      </c>
      <c r="G13" s="14" t="e">
        <f t="shared" ref="G13:G31" si="4">E13*F13</f>
        <v>#DIV/0!</v>
      </c>
      <c r="H13" s="7" t="e">
        <f t="shared" si="1"/>
        <v>#DIV/0!</v>
      </c>
      <c r="I13" s="28">
        <f>données!M31</f>
        <v>0</v>
      </c>
      <c r="J13" s="6" t="e">
        <f>D13*(données!$P$3^3*((données!$I$17+SIN(données!$I$17)*COS(données!$I$17))/2-SIN(données!$I$17)^2/données!$I$17))+E13*H13^2</f>
        <v>#DIV/0!</v>
      </c>
      <c r="K13" s="8"/>
      <c r="M13" s="13">
        <v>2</v>
      </c>
      <c r="N13" s="3">
        <f t="shared" ref="N13:O27" si="5">I13</f>
        <v>0</v>
      </c>
      <c r="O13" s="3" t="e">
        <f>J13</f>
        <v>#DIV/0!</v>
      </c>
      <c r="Q13" s="87">
        <v>16731.736187589693</v>
      </c>
    </row>
    <row r="14" spans="1:17" x14ac:dyDescent="0.25">
      <c r="A14" s="87" t="e">
        <f t="shared" si="3"/>
        <v>#DIV/0!</v>
      </c>
      <c r="B14" s="13">
        <v>3</v>
      </c>
      <c r="C14" s="14" t="e">
        <f>données!C32</f>
        <v>#DIV/0!</v>
      </c>
      <c r="D14" s="68" t="e">
        <f>'raidisseur bis (4)'!B$42*$B$3</f>
        <v>#DIV/0!</v>
      </c>
      <c r="E14" s="117" t="e">
        <f>MIN(C14*D14*'raidisseur bis (4)'!E$42,A14)</f>
        <v>#DIV/0!</v>
      </c>
      <c r="F14" s="14">
        <f>données!J32</f>
        <v>0</v>
      </c>
      <c r="G14" s="14" t="e">
        <f t="shared" si="4"/>
        <v>#DIV/0!</v>
      </c>
      <c r="H14" s="7" t="e">
        <f t="shared" si="1"/>
        <v>#DIV/0!</v>
      </c>
      <c r="I14" s="28" t="e">
        <f>données!M32</f>
        <v>#DIV/0!</v>
      </c>
      <c r="J14" s="7" t="e">
        <f t="shared" ref="J14" si="6">E14*I14^2/12+E14*H14^2</f>
        <v>#DIV/0!</v>
      </c>
      <c r="K14" s="8"/>
      <c r="M14" s="13">
        <v>3</v>
      </c>
      <c r="N14" s="3" t="e">
        <f t="shared" si="5"/>
        <v>#DIV/0!</v>
      </c>
      <c r="O14" s="3" t="e">
        <f t="shared" si="5"/>
        <v>#DIV/0!</v>
      </c>
      <c r="Q14" s="87">
        <v>16549.57113081171</v>
      </c>
    </row>
    <row r="15" spans="1:17" x14ac:dyDescent="0.25">
      <c r="A15" s="87" t="e">
        <f t="shared" si="3"/>
        <v>#DIV/0!</v>
      </c>
      <c r="B15" s="13">
        <v>4</v>
      </c>
      <c r="C15" s="14" t="e">
        <f>données!C33</f>
        <v>#DIV/0!</v>
      </c>
      <c r="D15" s="68" t="e">
        <f>'raidisseur bis (4)'!B$42*$B$3</f>
        <v>#DIV/0!</v>
      </c>
      <c r="E15" s="117" t="e">
        <f>MIN(C15*D15*'raidisseur bis (4)'!E$42,A15)</f>
        <v>#DIV/0!</v>
      </c>
      <c r="F15" s="14" t="e">
        <f>données!J33</f>
        <v>#DIV/0!</v>
      </c>
      <c r="G15" s="14" t="e">
        <f t="shared" si="4"/>
        <v>#DIV/0!</v>
      </c>
      <c r="H15" s="7" t="e">
        <f t="shared" si="1"/>
        <v>#DIV/0!</v>
      </c>
      <c r="I15" s="28">
        <f>données!M33</f>
        <v>0</v>
      </c>
      <c r="J15" s="6" t="e">
        <f>D15*(données!$P$3^3*((données!$I$17+SIN(données!$I$17)*COS(données!$I$17))/2-SIN(données!$I$17)^2/données!$I$17))+E15*H15^2</f>
        <v>#DIV/0!</v>
      </c>
      <c r="K15" s="8"/>
      <c r="M15" s="13"/>
      <c r="N15" s="3"/>
      <c r="O15" s="3"/>
      <c r="Q15" s="87">
        <v>10149.948495318249</v>
      </c>
    </row>
    <row r="16" spans="1:17" x14ac:dyDescent="0.25">
      <c r="A16" s="87" t="e">
        <f t="shared" si="3"/>
        <v>#DIV/0!</v>
      </c>
      <c r="B16" s="13">
        <v>51</v>
      </c>
      <c r="C16" s="14" t="e">
        <f>'largeur_eff_semelle bis (4)'!O5-données!I19</f>
        <v>#DIV/0!</v>
      </c>
      <c r="D16" s="68" t="e">
        <f>'raidisseur bis (4)'!B$42*$B$3</f>
        <v>#DIV/0!</v>
      </c>
      <c r="E16" s="117" t="e">
        <f>MIN(C16*D16*'raidisseur bis (4)'!E$42,A16)</f>
        <v>#DIV/0!</v>
      </c>
      <c r="F16" s="14">
        <f>données!J34</f>
        <v>0</v>
      </c>
      <c r="G16" s="14" t="e">
        <f t="shared" si="4"/>
        <v>#DIV/0!</v>
      </c>
      <c r="H16" s="7" t="e">
        <f t="shared" si="1"/>
        <v>#DIV/0!</v>
      </c>
      <c r="I16" s="28">
        <f>données!M34</f>
        <v>0</v>
      </c>
      <c r="J16" s="7" t="e">
        <f t="shared" ref="J16:J17" si="7">E16*I16^2/12+E16*H16^2</f>
        <v>#DIV/0!</v>
      </c>
      <c r="K16" s="8"/>
      <c r="M16" s="13">
        <v>4</v>
      </c>
      <c r="N16" s="3">
        <f t="shared" si="5"/>
        <v>0</v>
      </c>
      <c r="O16" s="3" t="e">
        <f t="shared" si="5"/>
        <v>#DIV/0!</v>
      </c>
      <c r="Q16" s="87">
        <v>44316.90262521273</v>
      </c>
    </row>
    <row r="17" spans="1:17" x14ac:dyDescent="0.25">
      <c r="A17" s="87"/>
      <c r="B17" s="13">
        <v>52</v>
      </c>
      <c r="C17" s="117" t="e">
        <f>('largeur_eff_semelle bis (4)'!O10-données!C21)</f>
        <v>#DIV/0!</v>
      </c>
      <c r="D17" s="23">
        <f>$B$3</f>
        <v>0</v>
      </c>
      <c r="E17" s="14" t="e">
        <f t="shared" ref="E17:E31" si="8">C17*D17</f>
        <v>#DIV/0!</v>
      </c>
      <c r="F17" s="14">
        <f>données!J34</f>
        <v>0</v>
      </c>
      <c r="G17" s="14" t="e">
        <f t="shared" si="4"/>
        <v>#DIV/0!</v>
      </c>
      <c r="H17" s="7" t="e">
        <f t="shared" si="1"/>
        <v>#DIV/0!</v>
      </c>
      <c r="I17" s="28">
        <f>données!M34</f>
        <v>0</v>
      </c>
      <c r="J17" s="7" t="e">
        <f t="shared" si="7"/>
        <v>#DIV/0!</v>
      </c>
      <c r="K17" s="8"/>
      <c r="M17" s="13">
        <v>5</v>
      </c>
      <c r="N17" s="3">
        <f t="shared" si="5"/>
        <v>0</v>
      </c>
      <c r="O17" s="3" t="e">
        <f t="shared" si="5"/>
        <v>#DIV/0!</v>
      </c>
      <c r="Q17" s="87">
        <v>33894.82308569317</v>
      </c>
    </row>
    <row r="18" spans="1:17" x14ac:dyDescent="0.25">
      <c r="A18" s="87"/>
      <c r="B18" s="13">
        <v>6</v>
      </c>
      <c r="C18" s="14" t="e">
        <f>données!C35</f>
        <v>#DIV/0!</v>
      </c>
      <c r="D18" s="23">
        <f t="shared" ref="D18" si="9">$B$3</f>
        <v>0</v>
      </c>
      <c r="E18" s="14" t="e">
        <f t="shared" si="8"/>
        <v>#DIV/0!</v>
      </c>
      <c r="F18" s="14" t="e">
        <f>données!J35</f>
        <v>#DIV/0!</v>
      </c>
      <c r="G18" s="14" t="e">
        <f t="shared" si="4"/>
        <v>#DIV/0!</v>
      </c>
      <c r="H18" s="7" t="e">
        <f t="shared" si="1"/>
        <v>#DIV/0!</v>
      </c>
      <c r="I18" s="28">
        <f>données!M35</f>
        <v>0</v>
      </c>
      <c r="J18" s="6" t="e">
        <f>D18*données!J$3^3*((données!B$3+SIN(données!B$3)*COS(données!B$3))/2-SIN(données!B$3)^2/données!B$3)+E18*H18^2</f>
        <v>#DIV/0!</v>
      </c>
      <c r="K18" s="8"/>
      <c r="M18" s="13">
        <v>6</v>
      </c>
      <c r="N18" s="3">
        <f t="shared" si="5"/>
        <v>0</v>
      </c>
      <c r="O18" s="3" t="e">
        <f t="shared" si="5"/>
        <v>#DIV/0!</v>
      </c>
      <c r="Q18" s="87">
        <v>22335.374897470152</v>
      </c>
    </row>
    <row r="19" spans="1:17" x14ac:dyDescent="0.25">
      <c r="A19" s="87"/>
      <c r="B19" s="13">
        <v>7</v>
      </c>
      <c r="C19" s="14" t="e">
        <f>données!C36</f>
        <v>#DIV/0!</v>
      </c>
      <c r="D19" s="115">
        <f>$B$3</f>
        <v>0</v>
      </c>
      <c r="E19" s="14" t="e">
        <f t="shared" si="8"/>
        <v>#DIV/0!</v>
      </c>
      <c r="F19" s="14" t="e">
        <f>données!J36</f>
        <v>#DIV/0!</v>
      </c>
      <c r="G19" s="14" t="e">
        <f t="shared" si="4"/>
        <v>#DIV/0!</v>
      </c>
      <c r="H19" s="7" t="e">
        <f t="shared" si="1"/>
        <v>#DIV/0!</v>
      </c>
      <c r="I19" s="28" t="e">
        <f>données!M36</f>
        <v>#DIV/0!</v>
      </c>
      <c r="J19" s="7" t="e">
        <f>E19*I19^2/12+E19*H19^2</f>
        <v>#DIV/0!</v>
      </c>
      <c r="K19" s="8"/>
      <c r="M19" s="13"/>
      <c r="N19" s="3"/>
      <c r="O19" s="3"/>
      <c r="Q19" s="87"/>
    </row>
    <row r="20" spans="1:17" x14ac:dyDescent="0.25">
      <c r="A20" s="87"/>
      <c r="B20" s="13" t="s">
        <v>150</v>
      </c>
      <c r="C20" s="14">
        <f>-données!$Q$3</f>
        <v>-14.125</v>
      </c>
      <c r="D20" s="90">
        <f t="shared" ref="D20" si="10">$B$3</f>
        <v>0</v>
      </c>
      <c r="E20" s="14">
        <f t="shared" si="8"/>
        <v>0</v>
      </c>
      <c r="F20" s="14" t="e">
        <f>résistance_section!$F$20</f>
        <v>#DIV/0!</v>
      </c>
      <c r="G20" s="14" t="e">
        <f t="shared" si="4"/>
        <v>#DIV/0!</v>
      </c>
      <c r="H20" s="7" t="e">
        <f>$H$32-F20</f>
        <v>#DIV/0!</v>
      </c>
      <c r="I20" s="124" t="e">
        <f>-C20*SIN(données!$B$3)</f>
        <v>#DIV/0!</v>
      </c>
      <c r="J20" s="7" t="e">
        <f t="shared" ref="J20:J21" si="11">E20*I20^2/12+E20*H20^2</f>
        <v>#DIV/0!</v>
      </c>
      <c r="K20" s="8"/>
      <c r="M20" s="13"/>
      <c r="N20" s="3"/>
      <c r="O20" s="3"/>
      <c r="Q20" s="87"/>
    </row>
    <row r="21" spans="1:17" x14ac:dyDescent="0.25">
      <c r="A21" s="87"/>
      <c r="B21" s="13" t="s">
        <v>150</v>
      </c>
      <c r="C21" s="14">
        <f>données!$Q$3</f>
        <v>14.125</v>
      </c>
      <c r="D21" s="90">
        <f>$B$3*données!P4</f>
        <v>0</v>
      </c>
      <c r="E21" s="14">
        <f t="shared" si="8"/>
        <v>0</v>
      </c>
      <c r="F21" s="14" t="e">
        <f>résistance_section!$F$21</f>
        <v>#DIV/0!</v>
      </c>
      <c r="G21" s="14" t="e">
        <f t="shared" si="4"/>
        <v>#DIV/0!</v>
      </c>
      <c r="H21" s="7" t="e">
        <f t="shared" ref="H21" si="12">$H$32-F21</f>
        <v>#DIV/0!</v>
      </c>
      <c r="I21" s="124" t="e">
        <f>C21*SIN(données!$B$3)</f>
        <v>#DIV/0!</v>
      </c>
      <c r="J21" s="7" t="e">
        <f t="shared" si="11"/>
        <v>#DIV/0!</v>
      </c>
      <c r="K21" s="8"/>
      <c r="M21" s="13"/>
      <c r="N21" s="3"/>
      <c r="O21" s="3"/>
      <c r="Q21" s="87"/>
    </row>
    <row r="22" spans="1:17" x14ac:dyDescent="0.25">
      <c r="A22" s="87"/>
      <c r="B22" s="13">
        <v>8</v>
      </c>
      <c r="C22" s="14" t="e">
        <f>données!C37</f>
        <v>#DIV/0!</v>
      </c>
      <c r="D22" s="23">
        <f>$B$3</f>
        <v>0</v>
      </c>
      <c r="E22" s="14" t="e">
        <f t="shared" si="8"/>
        <v>#DIV/0!</v>
      </c>
      <c r="F22" s="14" t="e">
        <f>données!J37</f>
        <v>#DIV/0!</v>
      </c>
      <c r="G22" s="14" t="e">
        <f t="shared" si="4"/>
        <v>#DIV/0!</v>
      </c>
      <c r="H22" s="7" t="e">
        <f t="shared" si="1"/>
        <v>#DIV/0!</v>
      </c>
      <c r="I22" s="28">
        <f>données!M37</f>
        <v>0</v>
      </c>
      <c r="J22" s="6" t="e">
        <f>D22*données!I$3^3*((données!B$3+SIN(données!B$3)*COS(données!B$3))/2-SIN(données!B$3)^2/données!B$3)+E22*H22^2</f>
        <v>#DIV/0!</v>
      </c>
      <c r="K22" s="8"/>
      <c r="M22" s="13"/>
      <c r="N22" s="3"/>
      <c r="O22" s="3"/>
      <c r="Q22" s="87">
        <v>14325.609230741165</v>
      </c>
    </row>
    <row r="23" spans="1:17" x14ac:dyDescent="0.25">
      <c r="A23" s="87"/>
      <c r="B23" s="13">
        <v>9</v>
      </c>
      <c r="C23" s="14" t="e">
        <f>données!C38</f>
        <v>#DIV/0!</v>
      </c>
      <c r="D23" s="23">
        <f>$B$3</f>
        <v>0</v>
      </c>
      <c r="E23" s="14" t="e">
        <f>C23*D23</f>
        <v>#DIV/0!</v>
      </c>
      <c r="F23" s="14">
        <f>données!J38</f>
        <v>0</v>
      </c>
      <c r="G23" s="14" t="e">
        <f t="shared" si="4"/>
        <v>#DIV/0!</v>
      </c>
      <c r="H23" s="7" t="e">
        <f t="shared" si="1"/>
        <v>#DIV/0!</v>
      </c>
      <c r="I23" s="28">
        <f>données!M38</f>
        <v>0</v>
      </c>
      <c r="J23" s="7" t="e">
        <f>E23*I23^2/12+E23*H23^2</f>
        <v>#DIV/0!</v>
      </c>
      <c r="K23" s="8"/>
      <c r="M23" s="13">
        <v>8</v>
      </c>
      <c r="N23" s="3">
        <f t="shared" si="5"/>
        <v>0</v>
      </c>
      <c r="O23" s="3" t="e">
        <f t="shared" si="5"/>
        <v>#DIV/0!</v>
      </c>
      <c r="Q23" s="87">
        <v>5975.1153913010348</v>
      </c>
    </row>
    <row r="24" spans="1:17" x14ac:dyDescent="0.25">
      <c r="A24" s="87"/>
      <c r="B24" s="13">
        <v>10</v>
      </c>
      <c r="C24" s="14" t="e">
        <f>données!C39</f>
        <v>#DIV/0!</v>
      </c>
      <c r="D24" s="23">
        <f>$B$3</f>
        <v>0</v>
      </c>
      <c r="E24" s="14" t="e">
        <f t="shared" si="8"/>
        <v>#DIV/0!</v>
      </c>
      <c r="F24" s="14" t="e">
        <f>données!J39</f>
        <v>#DIV/0!</v>
      </c>
      <c r="G24" s="14" t="e">
        <f t="shared" si="4"/>
        <v>#DIV/0!</v>
      </c>
      <c r="H24" s="7" t="e">
        <f t="shared" si="1"/>
        <v>#DIV/0!</v>
      </c>
      <c r="I24" s="28">
        <f>données!M39</f>
        <v>0</v>
      </c>
      <c r="J24" s="6" t="e">
        <f>D24*0^3*((données!C$3+SIN(données!C$3)*COS(données!C$3))/2-SIN(données!C$3)^2/données!C$3)+E24*H24^2</f>
        <v>#DIV/0!</v>
      </c>
      <c r="K24" s="8"/>
      <c r="M24" s="13">
        <v>9</v>
      </c>
      <c r="N24" s="3">
        <f t="shared" si="5"/>
        <v>0</v>
      </c>
      <c r="O24" s="3" t="e">
        <f t="shared" si="5"/>
        <v>#DIV/0!</v>
      </c>
      <c r="Q24" s="87">
        <v>8624.8621577395097</v>
      </c>
    </row>
    <row r="25" spans="1:17" x14ac:dyDescent="0.25">
      <c r="A25" s="5"/>
      <c r="B25" s="13">
        <v>11</v>
      </c>
      <c r="C25" s="14" t="e">
        <f>données!C40</f>
        <v>#DIV/0!</v>
      </c>
      <c r="D25" s="23">
        <f t="shared" ref="D25:D31" si="13">$B$3</f>
        <v>0</v>
      </c>
      <c r="E25" s="14" t="e">
        <f t="shared" si="8"/>
        <v>#DIV/0!</v>
      </c>
      <c r="F25" s="14">
        <f>données!J40</f>
        <v>0</v>
      </c>
      <c r="G25" s="14" t="e">
        <f t="shared" si="4"/>
        <v>#DIV/0!</v>
      </c>
      <c r="H25" s="7" t="e">
        <f t="shared" si="1"/>
        <v>#DIV/0!</v>
      </c>
      <c r="I25" s="28" t="e">
        <f>données!M40</f>
        <v>#DIV/0!</v>
      </c>
      <c r="J25" s="7" t="e">
        <f>E25*I25^2/12+E25*H25^2</f>
        <v>#DIV/0!</v>
      </c>
      <c r="K25" s="8"/>
      <c r="M25" s="13">
        <v>10</v>
      </c>
      <c r="N25" s="3" t="e">
        <f t="shared" si="5"/>
        <v>#DIV/0!</v>
      </c>
      <c r="O25" s="3" t="e">
        <f t="shared" si="5"/>
        <v>#DIV/0!</v>
      </c>
      <c r="Q25" s="5">
        <v>2489.4181828516225</v>
      </c>
    </row>
    <row r="26" spans="1:17" x14ac:dyDescent="0.25">
      <c r="A26" s="5"/>
      <c r="B26" s="13">
        <v>12</v>
      </c>
      <c r="C26" s="14" t="e">
        <f>données!C41</f>
        <v>#DIV/0!</v>
      </c>
      <c r="D26" s="23">
        <f t="shared" si="13"/>
        <v>0</v>
      </c>
      <c r="E26" s="14" t="e">
        <f t="shared" si="8"/>
        <v>#DIV/0!</v>
      </c>
      <c r="F26" s="14" t="e">
        <f>données!J41</f>
        <v>#DIV/0!</v>
      </c>
      <c r="G26" s="14" t="e">
        <f t="shared" si="4"/>
        <v>#DIV/0!</v>
      </c>
      <c r="H26" s="7" t="e">
        <f t="shared" si="1"/>
        <v>#DIV/0!</v>
      </c>
      <c r="I26" s="28">
        <f>données!M41</f>
        <v>0</v>
      </c>
      <c r="J26" s="6" t="e">
        <f>D26*0^3*((données!C$3+SIN(données!C$3)*COS(données!C$3))/2-SIN(données!C$3)^2/données!C$3)+E26*H26^2</f>
        <v>#DIV/0!</v>
      </c>
      <c r="K26" s="8"/>
      <c r="M26" s="13">
        <v>11</v>
      </c>
      <c r="N26" s="3">
        <f t="shared" si="5"/>
        <v>0</v>
      </c>
      <c r="O26" s="3" t="e">
        <f t="shared" si="5"/>
        <v>#DIV/0!</v>
      </c>
      <c r="Q26" s="5">
        <v>6653.0132462047468</v>
      </c>
    </row>
    <row r="27" spans="1:17" x14ac:dyDescent="0.25">
      <c r="A27" s="5"/>
      <c r="B27" s="13">
        <v>13</v>
      </c>
      <c r="C27" s="14" t="e">
        <f>données!C42</f>
        <v>#DIV/0!</v>
      </c>
      <c r="D27" s="23">
        <f t="shared" si="13"/>
        <v>0</v>
      </c>
      <c r="E27" s="14" t="e">
        <f t="shared" si="8"/>
        <v>#DIV/0!</v>
      </c>
      <c r="F27" s="14">
        <f>données!J42</f>
        <v>0</v>
      </c>
      <c r="G27" s="14" t="e">
        <f t="shared" si="4"/>
        <v>#DIV/0!</v>
      </c>
      <c r="H27" s="7" t="e">
        <f t="shared" si="1"/>
        <v>#DIV/0!</v>
      </c>
      <c r="I27" s="28">
        <f>données!M42</f>
        <v>0</v>
      </c>
      <c r="J27" s="7" t="e">
        <f t="shared" ref="J27:J31" si="14">E27*I27^2/12+E27*H27^2</f>
        <v>#DIV/0!</v>
      </c>
      <c r="K27" s="8"/>
      <c r="M27" s="13">
        <v>12</v>
      </c>
      <c r="N27" s="3">
        <f t="shared" si="5"/>
        <v>0</v>
      </c>
      <c r="O27" s="3" t="e">
        <f t="shared" si="5"/>
        <v>#DIV/0!</v>
      </c>
      <c r="Q27" s="5">
        <v>2489.4181828516225</v>
      </c>
    </row>
    <row r="28" spans="1:17" x14ac:dyDescent="0.25">
      <c r="A28" s="5"/>
      <c r="B28" s="13">
        <v>14</v>
      </c>
      <c r="C28" s="14" t="e">
        <f>données!C43</f>
        <v>#DIV/0!</v>
      </c>
      <c r="D28" s="23">
        <f t="shared" si="13"/>
        <v>0</v>
      </c>
      <c r="E28" s="14" t="e">
        <f t="shared" si="8"/>
        <v>#DIV/0!</v>
      </c>
      <c r="F28" s="14" t="e">
        <f>données!J43</f>
        <v>#DIV/0!</v>
      </c>
      <c r="G28" s="14" t="e">
        <f t="shared" si="4"/>
        <v>#DIV/0!</v>
      </c>
      <c r="H28" s="7" t="e">
        <f t="shared" si="1"/>
        <v>#DIV/0!</v>
      </c>
      <c r="I28" s="28">
        <f>données!M43</f>
        <v>0</v>
      </c>
      <c r="J28" s="6" t="e">
        <f>D28*0^3*((données!C$3+SIN(données!C$3)*COS(données!C$3))/2-SIN(données!C$3)^2/données!C$3)+E28*H28^2</f>
        <v>#DIV/0!</v>
      </c>
      <c r="K28" s="8"/>
      <c r="M28" s="13"/>
      <c r="N28" s="3"/>
      <c r="O28" s="3"/>
      <c r="Q28" s="5">
        <v>8624.8621577395097</v>
      </c>
    </row>
    <row r="29" spans="1:17" x14ac:dyDescent="0.25">
      <c r="B29" s="13">
        <v>15</v>
      </c>
      <c r="C29" s="14" t="e">
        <f>données!C44</f>
        <v>#DIV/0!</v>
      </c>
      <c r="D29" s="23">
        <f t="shared" si="13"/>
        <v>0</v>
      </c>
      <c r="E29" s="14" t="e">
        <f t="shared" si="8"/>
        <v>#DIV/0!</v>
      </c>
      <c r="F29" s="14">
        <f>données!J44</f>
        <v>0</v>
      </c>
      <c r="G29" s="14" t="e">
        <f t="shared" si="4"/>
        <v>#DIV/0!</v>
      </c>
      <c r="H29" s="7" t="e">
        <f t="shared" si="1"/>
        <v>#DIV/0!</v>
      </c>
      <c r="I29" s="28" t="e">
        <f>données!M44</f>
        <v>#DIV/0!</v>
      </c>
      <c r="J29" s="7" t="e">
        <f t="shared" si="14"/>
        <v>#DIV/0!</v>
      </c>
      <c r="K29" s="8"/>
      <c r="M29" s="13"/>
      <c r="N29" s="3"/>
      <c r="O29" s="3"/>
      <c r="Q29" s="5">
        <v>5975.1153913010348</v>
      </c>
    </row>
    <row r="30" spans="1:17" x14ac:dyDescent="0.25">
      <c r="B30" s="13">
        <v>16</v>
      </c>
      <c r="C30" s="14" t="e">
        <f>données!C45</f>
        <v>#DIV/0!</v>
      </c>
      <c r="D30" s="23">
        <f t="shared" si="13"/>
        <v>0</v>
      </c>
      <c r="E30" s="14" t="e">
        <f t="shared" si="8"/>
        <v>#DIV/0!</v>
      </c>
      <c r="F30" s="14" t="e">
        <f>données!J45</f>
        <v>#DIV/0!</v>
      </c>
      <c r="G30" s="14" t="e">
        <f t="shared" si="4"/>
        <v>#DIV/0!</v>
      </c>
      <c r="H30" s="7" t="e">
        <f t="shared" si="1"/>
        <v>#DIV/0!</v>
      </c>
      <c r="I30" s="28">
        <f>données!M45</f>
        <v>0</v>
      </c>
      <c r="J30" s="6" t="e">
        <f>D30*0^3*((données!C$3+SIN(données!C$3)*COS(données!C$3))/2-SIN(données!C$3)^2/données!C$3)+E30*H30^2</f>
        <v>#DIV/0!</v>
      </c>
      <c r="K30" s="8"/>
      <c r="M30" s="13"/>
      <c r="N30" s="3"/>
      <c r="O30" s="3"/>
      <c r="Q30" s="5">
        <v>29948.196285118844</v>
      </c>
    </row>
    <row r="31" spans="1:17" x14ac:dyDescent="0.25">
      <c r="B31" s="13">
        <v>17</v>
      </c>
      <c r="C31" s="14" t="e">
        <f>données!C46</f>
        <v>#DIV/0!</v>
      </c>
      <c r="D31" s="23">
        <f t="shared" si="13"/>
        <v>0</v>
      </c>
      <c r="E31" s="14" t="e">
        <f t="shared" si="8"/>
        <v>#DIV/0!</v>
      </c>
      <c r="F31" s="14">
        <f>données!J46</f>
        <v>0</v>
      </c>
      <c r="G31" s="14" t="e">
        <f t="shared" si="4"/>
        <v>#DIV/0!</v>
      </c>
      <c r="H31" s="7" t="e">
        <f t="shared" si="1"/>
        <v>#DIV/0!</v>
      </c>
      <c r="I31" s="28">
        <f>données!M46</f>
        <v>0</v>
      </c>
      <c r="J31" s="7" t="e">
        <f t="shared" si="14"/>
        <v>#DIV/0!</v>
      </c>
      <c r="K31" s="8"/>
      <c r="M31" s="13"/>
      <c r="N31" s="3"/>
      <c r="O31" s="3"/>
    </row>
    <row r="32" spans="1:17" x14ac:dyDescent="0.25">
      <c r="B32" s="13" t="s">
        <v>6</v>
      </c>
      <c r="C32" s="8"/>
      <c r="D32" s="8"/>
      <c r="E32" s="24" t="e">
        <f>SUM(E11:E31)</f>
        <v>#DIV/0!</v>
      </c>
      <c r="F32" s="8"/>
      <c r="G32" s="24" t="e">
        <f>SUM(G11:G31)</f>
        <v>#DIV/0!</v>
      </c>
      <c r="H32" s="120" t="e">
        <f>G32/E32</f>
        <v>#DIV/0!</v>
      </c>
      <c r="I32" s="8"/>
      <c r="J32" s="12" t="e">
        <f>SUM(J11:J31)</f>
        <v>#DIV/0!</v>
      </c>
      <c r="K32" s="8" t="s">
        <v>93</v>
      </c>
      <c r="M32" s="13" t="s">
        <v>6</v>
      </c>
      <c r="N32" s="1"/>
      <c r="O32" s="3" t="e">
        <f t="shared" ref="O32:O33" si="15">J32</f>
        <v>#DIV/0!</v>
      </c>
    </row>
    <row r="33" spans="2:15" x14ac:dyDescent="0.25">
      <c r="B33" s="8"/>
      <c r="C33" s="8"/>
      <c r="D33" s="8"/>
      <c r="E33" s="8"/>
      <c r="F33" s="8"/>
      <c r="G33" s="8"/>
      <c r="H33" s="9" t="e">
        <f>données!L3-H32</f>
        <v>#DIV/0!</v>
      </c>
      <c r="I33" s="8"/>
      <c r="J33" s="8" t="e">
        <f>J32*2</f>
        <v>#DIV/0!</v>
      </c>
      <c r="K33" s="8" t="s">
        <v>95</v>
      </c>
      <c r="O33" s="30" t="e">
        <f t="shared" si="15"/>
        <v>#DIV/0!</v>
      </c>
    </row>
    <row r="34" spans="2:15" x14ac:dyDescent="0.25">
      <c r="B34" s="8" t="s">
        <v>55</v>
      </c>
      <c r="C34" s="8" t="e">
        <f>J32/MAX(H32,H33)</f>
        <v>#DIV/0!</v>
      </c>
      <c r="D34" s="8" t="s">
        <v>93</v>
      </c>
      <c r="E34" s="8"/>
      <c r="F34" s="8"/>
      <c r="G34" s="8"/>
      <c r="H34" s="8"/>
      <c r="I34" s="8"/>
      <c r="J34" s="8" t="e">
        <f>J33/données!K3</f>
        <v>#DIV/0!</v>
      </c>
      <c r="K34" s="8" t="s">
        <v>130</v>
      </c>
    </row>
    <row r="35" spans="2:15" x14ac:dyDescent="0.25">
      <c r="B35" s="8" t="s">
        <v>55</v>
      </c>
      <c r="C35" s="8" t="e">
        <f>2*C34</f>
        <v>#DIV/0!</v>
      </c>
      <c r="D35" s="8" t="s">
        <v>95</v>
      </c>
      <c r="E35" s="8"/>
      <c r="F35" s="8"/>
      <c r="G35" s="8"/>
      <c r="H35" s="8"/>
      <c r="I35" s="8"/>
      <c r="J35" s="8"/>
      <c r="K35" s="8"/>
    </row>
    <row r="36" spans="2:15" x14ac:dyDescent="0.25">
      <c r="B36" s="8" t="s">
        <v>55</v>
      </c>
      <c r="C36" s="8" t="e">
        <f>C35/données!K3</f>
        <v>#DIV/0!</v>
      </c>
      <c r="D36" s="8" t="s">
        <v>96</v>
      </c>
      <c r="E36" s="8"/>
      <c r="F36" s="8"/>
      <c r="G36" s="8"/>
      <c r="H36" s="8"/>
      <c r="I36" s="8"/>
      <c r="J36" s="8"/>
      <c r="K36" s="8"/>
    </row>
    <row r="37" spans="2:15" x14ac:dyDescent="0.25"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2:15" x14ac:dyDescent="0.25">
      <c r="B38" s="8" t="s">
        <v>13</v>
      </c>
      <c r="C38" s="8" t="s">
        <v>13</v>
      </c>
      <c r="D38" s="8"/>
      <c r="E38" s="8"/>
      <c r="F38" s="8"/>
      <c r="G38" s="8"/>
      <c r="H38" s="8"/>
      <c r="I38" s="8"/>
      <c r="J38" s="8"/>
      <c r="K38" s="8"/>
    </row>
    <row r="39" spans="2:15" x14ac:dyDescent="0.25">
      <c r="B39" s="88" t="e">
        <f>D3*C36*1</f>
        <v>#DIV/0!</v>
      </c>
      <c r="C39" s="88" t="s">
        <v>97</v>
      </c>
      <c r="D39" s="89"/>
      <c r="E39" s="89" t="e">
        <f>B39*0.965</f>
        <v>#DIV/0!</v>
      </c>
      <c r="F39" s="91">
        <v>7843.1501932231167</v>
      </c>
      <c r="G39" s="8"/>
      <c r="H39" s="8"/>
      <c r="I39" s="8"/>
      <c r="J39" s="8"/>
      <c r="K39" s="8"/>
    </row>
    <row r="40" spans="2:15" x14ac:dyDescent="0.25">
      <c r="B40" s="55" t="e">
        <f>B39/1000</f>
        <v>#DIV/0!</v>
      </c>
      <c r="C40" t="s">
        <v>98</v>
      </c>
      <c r="D40" t="e">
        <f>(21.73-B40)/21.73</f>
        <v>#DIV/0!</v>
      </c>
    </row>
    <row r="41" spans="2:15" x14ac:dyDescent="0.25">
      <c r="B41" s="29"/>
    </row>
    <row r="42" spans="2:15" x14ac:dyDescent="0.25">
      <c r="B42" s="29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windowProtection="1" workbookViewId="0">
      <selection activeCell="M5" sqref="M5"/>
    </sheetView>
  </sheetViews>
  <sheetFormatPr baseColWidth="10" defaultRowHeight="15" x14ac:dyDescent="0.25"/>
  <cols>
    <col min="2" max="2" width="5.42578125" bestFit="1" customWidth="1"/>
    <col min="3" max="3" width="4.42578125" bestFit="1" customWidth="1"/>
    <col min="4" max="4" width="11.28515625" bestFit="1" customWidth="1"/>
    <col min="5" max="5" width="10.28515625" bestFit="1" customWidth="1"/>
    <col min="6" max="6" width="4.42578125" bestFit="1" customWidth="1"/>
    <col min="7" max="7" width="6.85546875" customWidth="1"/>
    <col min="8" max="8" width="4.42578125" customWidth="1"/>
    <col min="9" max="9" width="5.42578125" bestFit="1" customWidth="1"/>
    <col min="10" max="10" width="7.140625" customWidth="1"/>
    <col min="11" max="11" width="5.42578125" customWidth="1"/>
    <col min="12" max="12" width="7.7109375" customWidth="1"/>
    <col min="13" max="13" width="5.42578125" bestFit="1" customWidth="1"/>
    <col min="14" max="14" width="7.85546875" bestFit="1" customWidth="1"/>
    <col min="15" max="15" width="8.42578125" bestFit="1" customWidth="1"/>
  </cols>
  <sheetData>
    <row r="2" spans="2:15" x14ac:dyDescent="0.25">
      <c r="B2" s="8" t="s">
        <v>17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6.5" x14ac:dyDescent="0.3">
      <c r="B4" s="2" t="s">
        <v>21</v>
      </c>
      <c r="C4" s="2" t="s">
        <v>0</v>
      </c>
      <c r="D4" s="2" t="s">
        <v>20</v>
      </c>
      <c r="E4" s="2" t="s">
        <v>2</v>
      </c>
      <c r="F4" s="2" t="s">
        <v>1</v>
      </c>
      <c r="G4" s="42" t="s">
        <v>80</v>
      </c>
      <c r="H4" s="39" t="s">
        <v>76</v>
      </c>
      <c r="I4" s="2" t="s">
        <v>22</v>
      </c>
      <c r="J4" s="40" t="s">
        <v>78</v>
      </c>
      <c r="K4" s="41" t="s">
        <v>79</v>
      </c>
      <c r="L4" s="2" t="s">
        <v>77</v>
      </c>
      <c r="M4" s="2" t="s">
        <v>3</v>
      </c>
      <c r="N4" s="10" t="s">
        <v>23</v>
      </c>
      <c r="O4" s="10" t="s">
        <v>4</v>
      </c>
    </row>
    <row r="5" spans="2:15" x14ac:dyDescent="0.25">
      <c r="B5" s="7" t="e">
        <f>données!C8-données!C20-données!I18</f>
        <v>#DIV/0!</v>
      </c>
      <c r="C5" s="7">
        <f>données!E3</f>
        <v>0</v>
      </c>
      <c r="D5" s="37">
        <f>données!G3</f>
        <v>0</v>
      </c>
      <c r="E5" s="7">
        <f>données!H3</f>
        <v>0</v>
      </c>
      <c r="F5" s="7">
        <v>4</v>
      </c>
      <c r="G5" s="7">
        <v>1</v>
      </c>
      <c r="H5" s="7" t="e">
        <f>(235/D5)^0.5</f>
        <v>#DIV/0!</v>
      </c>
      <c r="I5" s="11" t="e">
        <f>B5/C5/28.4/H5/(F5)^0.5</f>
        <v>#DIV/0!</v>
      </c>
      <c r="J5" s="11" t="e">
        <f>MIN(D5,D5*(données!L3-données!L48)/données!L48)</f>
        <v>#DIV/0!</v>
      </c>
      <c r="K5" s="11">
        <v>1</v>
      </c>
      <c r="L5" s="11" t="e">
        <f>I5*SQRT(J5/D5/K5)</f>
        <v>#DIV/0!</v>
      </c>
      <c r="M5" s="11" t="e">
        <f>IF(L5&gt;0.673,(L5-0.055*(3+G5))/L5^2+0.18*(I5-L5)/(I5-0.6),1)</f>
        <v>#DIV/0!</v>
      </c>
      <c r="N5" s="7" t="e">
        <f>M5*B5</f>
        <v>#DIV/0!</v>
      </c>
      <c r="O5" s="65" t="e">
        <f>N5/2</f>
        <v>#DIV/0!</v>
      </c>
    </row>
    <row r="6" spans="2:15" x14ac:dyDescent="0.25">
      <c r="B6" s="8"/>
      <c r="C6" s="8"/>
      <c r="D6" s="3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5" x14ac:dyDescent="0.25">
      <c r="B7" s="8"/>
      <c r="C7" s="8"/>
      <c r="D7" s="3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2:15" x14ac:dyDescent="0.25">
      <c r="B8" s="8"/>
      <c r="C8" s="8"/>
      <c r="D8" s="3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2:15" x14ac:dyDescent="0.25">
      <c r="B9" s="2"/>
      <c r="C9" s="2"/>
      <c r="D9" s="10"/>
      <c r="E9" s="2"/>
      <c r="F9" s="2"/>
      <c r="G9" s="42"/>
      <c r="H9" s="39"/>
      <c r="I9" s="2"/>
      <c r="J9" s="40"/>
      <c r="K9" s="41"/>
      <c r="L9" s="2"/>
      <c r="M9" s="2"/>
      <c r="N9" s="10"/>
      <c r="O9" s="10"/>
    </row>
    <row r="10" spans="2:15" x14ac:dyDescent="0.25">
      <c r="B10" s="12"/>
      <c r="C10" s="7"/>
      <c r="D10" s="37"/>
      <c r="E10" s="7"/>
      <c r="F10" s="7"/>
      <c r="G10" s="7"/>
      <c r="H10" s="7"/>
      <c r="I10" s="11"/>
      <c r="J10" s="11"/>
      <c r="K10" s="11"/>
      <c r="L10" s="11"/>
      <c r="M10" s="11"/>
      <c r="N10" s="7"/>
      <c r="O10" s="65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windowProtection="1" topLeftCell="A2" workbookViewId="0">
      <selection activeCell="I7" sqref="I7"/>
    </sheetView>
  </sheetViews>
  <sheetFormatPr baseColWidth="10" defaultRowHeight="15" x14ac:dyDescent="0.25"/>
  <cols>
    <col min="2" max="2" width="11.42578125" bestFit="1" customWidth="1"/>
    <col min="3" max="3" width="7.7109375" bestFit="1" customWidth="1"/>
    <col min="4" max="4" width="8.28515625" bestFit="1" customWidth="1"/>
    <col min="5" max="5" width="11.140625" customWidth="1"/>
    <col min="6" max="6" width="8.42578125" customWidth="1"/>
    <col min="7" max="7" width="10.28515625" bestFit="1" customWidth="1"/>
    <col min="8" max="8" width="7.42578125" bestFit="1" customWidth="1"/>
    <col min="11" max="11" width="14.85546875" bestFit="1" customWidth="1"/>
    <col min="12" max="12" width="17" customWidth="1"/>
    <col min="13" max="13" width="17" bestFit="1" customWidth="1"/>
    <col min="14" max="15" width="14.85546875" bestFit="1" customWidth="1"/>
    <col min="16" max="16" width="16.140625" bestFit="1" customWidth="1"/>
    <col min="17" max="17" width="17" bestFit="1" customWidth="1"/>
    <col min="18" max="18" width="14.85546875" bestFit="1" customWidth="1"/>
  </cols>
  <sheetData>
    <row r="2" spans="1:18" ht="16.5" x14ac:dyDescent="0.3">
      <c r="B2" s="2" t="s">
        <v>24</v>
      </c>
      <c r="C2" s="2" t="s">
        <v>21</v>
      </c>
      <c r="D2" s="2" t="s">
        <v>0</v>
      </c>
      <c r="E2" s="2" t="s">
        <v>2</v>
      </c>
      <c r="F2" s="10" t="s">
        <v>8</v>
      </c>
      <c r="G2" s="8"/>
      <c r="H2" s="8"/>
      <c r="I2" s="8"/>
      <c r="J2" s="8"/>
    </row>
    <row r="3" spans="1:18" x14ac:dyDescent="0.25">
      <c r="B3" s="7" t="e">
        <f>(données!C30+données!C31+données!C32+données!C33/2)*2</f>
        <v>#DIV/0!</v>
      </c>
      <c r="C3" s="7" t="e">
        <f>largeur_eff_semelle!B5</f>
        <v>#DIV/0!</v>
      </c>
      <c r="D3" s="2">
        <f>données!E3</f>
        <v>0</v>
      </c>
      <c r="E3" s="7">
        <f>données!H3</f>
        <v>0</v>
      </c>
      <c r="F3" s="12">
        <f>données!D6</f>
        <v>0</v>
      </c>
      <c r="G3" s="8"/>
      <c r="H3" s="8"/>
      <c r="I3" s="8"/>
      <c r="J3" s="8"/>
    </row>
    <row r="4" spans="1:18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8.75" x14ac:dyDescent="0.3">
      <c r="B5" s="13" t="s">
        <v>5</v>
      </c>
      <c r="C5" s="13" t="s">
        <v>44</v>
      </c>
      <c r="D5" s="13" t="s">
        <v>47</v>
      </c>
      <c r="E5" s="13" t="s">
        <v>45</v>
      </c>
      <c r="F5" s="13" t="s">
        <v>48</v>
      </c>
      <c r="G5" s="13" t="s">
        <v>46</v>
      </c>
      <c r="H5" s="13" t="s">
        <v>8</v>
      </c>
      <c r="I5" s="13" t="s">
        <v>49</v>
      </c>
      <c r="J5" s="8"/>
      <c r="K5" s="13" t="s">
        <v>35</v>
      </c>
      <c r="L5" s="13" t="s">
        <v>36</v>
      </c>
      <c r="M5" s="13" t="s">
        <v>37</v>
      </c>
      <c r="N5" s="13" t="s">
        <v>38</v>
      </c>
      <c r="O5" s="13" t="s">
        <v>39</v>
      </c>
      <c r="P5" s="13" t="s">
        <v>40</v>
      </c>
      <c r="Q5" s="13" t="s">
        <v>41</v>
      </c>
      <c r="R5" s="13"/>
    </row>
    <row r="6" spans="1:18" ht="18.75" x14ac:dyDescent="0.3">
      <c r="A6" s="4"/>
      <c r="B6" s="13" t="s">
        <v>81</v>
      </c>
      <c r="C6" s="14" t="e">
        <f>15*D3-données!I19</f>
        <v>#DIV/0!</v>
      </c>
      <c r="D6" s="14" t="e">
        <f>C6*$D$3</f>
        <v>#DIV/0!</v>
      </c>
      <c r="E6" s="14">
        <v>0</v>
      </c>
      <c r="F6" s="14" t="e">
        <f>D6*E6</f>
        <v>#DIV/0!</v>
      </c>
      <c r="G6" s="15" t="e">
        <f>$G$16-E6</f>
        <v>#DIV/0!</v>
      </c>
      <c r="H6" s="15">
        <f>D3</f>
        <v>0</v>
      </c>
      <c r="I6" s="7" t="e">
        <f>D6*H6^2/12+D6*G6^2</f>
        <v>#DIV/0!</v>
      </c>
      <c r="J6" s="12" t="e">
        <f>15*D$3*H$6^3/12+15*D$3*D$3*G$6^2</f>
        <v>#DIV/0!</v>
      </c>
      <c r="K6" s="2" t="s">
        <v>42</v>
      </c>
      <c r="L6" s="2"/>
      <c r="M6" s="2" t="s">
        <v>43</v>
      </c>
      <c r="N6" s="2"/>
      <c r="O6" s="2" t="s">
        <v>101</v>
      </c>
      <c r="P6" s="2"/>
      <c r="Q6" s="2" t="s">
        <v>102</v>
      </c>
      <c r="R6" s="2"/>
    </row>
    <row r="7" spans="1:18" x14ac:dyDescent="0.25">
      <c r="A7" s="4"/>
      <c r="B7" s="13">
        <v>2</v>
      </c>
      <c r="C7" s="14" t="e">
        <f>données!C33</f>
        <v>#DIV/0!</v>
      </c>
      <c r="D7" s="14" t="e">
        <f t="shared" ref="D7:D15" si="0">C7*$D$3</f>
        <v>#DIV/0!</v>
      </c>
      <c r="E7" s="14" t="e">
        <f>données!I27</f>
        <v>#DIV/0!</v>
      </c>
      <c r="F7" s="14" t="e">
        <f t="shared" ref="F7:F15" si="1">D7*E7</f>
        <v>#DIV/0!</v>
      </c>
      <c r="G7" s="15" t="e">
        <f t="shared" ref="G7:G15" si="2">$G$16-E7</f>
        <v>#DIV/0!</v>
      </c>
      <c r="H7" s="15"/>
      <c r="I7" s="6" t="e">
        <f>D3*données!P$3^3*((données!I$17+SIN(données!I$17)*COS(données!I$17))/2-SIN(données!I$17)^2/données!I$17)+D7*G7^2</f>
        <v>#DIV/0!</v>
      </c>
      <c r="J7" s="8"/>
      <c r="K7" s="8"/>
      <c r="L7" s="8"/>
    </row>
    <row r="8" spans="1:18" x14ac:dyDescent="0.25">
      <c r="A8" s="4"/>
      <c r="B8" s="13">
        <v>3</v>
      </c>
      <c r="C8" s="14" t="e">
        <f>données!C32</f>
        <v>#DIV/0!</v>
      </c>
      <c r="D8" s="14" t="e">
        <f t="shared" si="0"/>
        <v>#DIV/0!</v>
      </c>
      <c r="E8" s="45">
        <f>données!N3/2</f>
        <v>0</v>
      </c>
      <c r="F8" s="14" t="e">
        <f t="shared" si="1"/>
        <v>#DIV/0!</v>
      </c>
      <c r="G8" s="15" t="e">
        <f t="shared" si="2"/>
        <v>#DIV/0!</v>
      </c>
      <c r="H8" s="15" t="e">
        <f>données!M32</f>
        <v>#DIV/0!</v>
      </c>
      <c r="I8" s="7" t="e">
        <f>D8*H8^2/12+D8*G8^2</f>
        <v>#DIV/0!</v>
      </c>
      <c r="J8" s="8"/>
      <c r="K8" s="8"/>
      <c r="L8" s="8"/>
    </row>
    <row r="9" spans="1:18" x14ac:dyDescent="0.25">
      <c r="A9" s="4"/>
      <c r="B9" s="13">
        <v>4</v>
      </c>
      <c r="C9" s="14" t="e">
        <f>données!C31</f>
        <v>#DIV/0!</v>
      </c>
      <c r="D9" s="14" t="e">
        <f t="shared" si="0"/>
        <v>#DIV/0!</v>
      </c>
      <c r="E9" s="16" t="e">
        <f>données!N3-données!I27</f>
        <v>#DIV/0!</v>
      </c>
      <c r="F9" s="14" t="e">
        <f t="shared" si="1"/>
        <v>#DIV/0!</v>
      </c>
      <c r="G9" s="15" t="e">
        <f t="shared" si="2"/>
        <v>#DIV/0!</v>
      </c>
      <c r="H9" s="15"/>
      <c r="I9" s="6" t="e">
        <f>D3*données!P$3^3*((données!L$17+SIN(données!L$17)*COS(données!L$17))/2-SIN(données!L$17)^2/données!L$17)+D9*G9^2</f>
        <v>#DIV/0!</v>
      </c>
      <c r="J9" s="8"/>
      <c r="K9" s="8"/>
      <c r="L9" s="8"/>
    </row>
    <row r="10" spans="1:18" x14ac:dyDescent="0.25">
      <c r="A10" s="4"/>
      <c r="B10" s="13">
        <v>5</v>
      </c>
      <c r="C10" s="14" t="e">
        <f>données!C30</f>
        <v>#DIV/0!</v>
      </c>
      <c r="D10" s="14" t="e">
        <f t="shared" si="0"/>
        <v>#DIV/0!</v>
      </c>
      <c r="E10" s="45">
        <f>données!N3</f>
        <v>0</v>
      </c>
      <c r="F10" s="14" t="e">
        <f t="shared" si="1"/>
        <v>#DIV/0!</v>
      </c>
      <c r="G10" s="15" t="e">
        <f t="shared" si="2"/>
        <v>#DIV/0!</v>
      </c>
      <c r="H10" s="15">
        <f>D3</f>
        <v>0</v>
      </c>
      <c r="I10" s="7" t="e">
        <f>D10*H10^2/12+D10*G10^2</f>
        <v>#DIV/0!</v>
      </c>
      <c r="J10" s="8"/>
      <c r="K10" s="8" t="s">
        <v>16</v>
      </c>
      <c r="L10" s="8" t="e">
        <f>F16/#REF!</f>
        <v>#DIV/0!</v>
      </c>
    </row>
    <row r="11" spans="1:18" x14ac:dyDescent="0.25">
      <c r="A11" s="4"/>
      <c r="B11" s="13">
        <v>6</v>
      </c>
      <c r="C11" s="14" t="e">
        <f>C10</f>
        <v>#DIV/0!</v>
      </c>
      <c r="D11" s="14" t="e">
        <f t="shared" si="0"/>
        <v>#DIV/0!</v>
      </c>
      <c r="E11" s="16">
        <f>E10</f>
        <v>0</v>
      </c>
      <c r="F11" s="14" t="e">
        <f t="shared" si="1"/>
        <v>#DIV/0!</v>
      </c>
      <c r="G11" s="15" t="e">
        <f t="shared" si="2"/>
        <v>#DIV/0!</v>
      </c>
      <c r="H11" s="15">
        <f>H10</f>
        <v>0</v>
      </c>
      <c r="I11" s="63" t="e">
        <f>I10</f>
        <v>#DIV/0!</v>
      </c>
      <c r="J11" s="8"/>
    </row>
    <row r="12" spans="1:18" x14ac:dyDescent="0.25">
      <c r="A12" s="4"/>
      <c r="B12" s="13">
        <v>7</v>
      </c>
      <c r="C12" s="14" t="e">
        <f>C9</f>
        <v>#DIV/0!</v>
      </c>
      <c r="D12" s="14" t="e">
        <f t="shared" si="0"/>
        <v>#DIV/0!</v>
      </c>
      <c r="E12" s="14" t="e">
        <f>E9</f>
        <v>#DIV/0!</v>
      </c>
      <c r="F12" s="14" t="e">
        <f t="shared" si="1"/>
        <v>#DIV/0!</v>
      </c>
      <c r="G12" s="15" t="e">
        <f t="shared" si="2"/>
        <v>#DIV/0!</v>
      </c>
      <c r="H12" s="14">
        <f>H9</f>
        <v>0</v>
      </c>
      <c r="I12" s="110" t="e">
        <f>I9</f>
        <v>#DIV/0!</v>
      </c>
      <c r="J12" s="8"/>
    </row>
    <row r="13" spans="1:18" x14ac:dyDescent="0.25">
      <c r="A13" s="4"/>
      <c r="B13" s="13">
        <v>8</v>
      </c>
      <c r="C13" s="14" t="e">
        <f>C8</f>
        <v>#DIV/0!</v>
      </c>
      <c r="D13" s="14" t="e">
        <f t="shared" si="0"/>
        <v>#DIV/0!</v>
      </c>
      <c r="E13" s="14">
        <f>E8</f>
        <v>0</v>
      </c>
      <c r="F13" s="14" t="e">
        <f t="shared" si="1"/>
        <v>#DIV/0!</v>
      </c>
      <c r="G13" s="15" t="e">
        <f t="shared" si="2"/>
        <v>#DIV/0!</v>
      </c>
      <c r="H13" s="14" t="e">
        <f>H8</f>
        <v>#DIV/0!</v>
      </c>
      <c r="I13" s="111" t="e">
        <f>I8</f>
        <v>#DIV/0!</v>
      </c>
      <c r="J13" s="8"/>
    </row>
    <row r="14" spans="1:18" x14ac:dyDescent="0.25">
      <c r="A14" s="4"/>
      <c r="B14" s="13">
        <v>9</v>
      </c>
      <c r="C14" s="14" t="e">
        <f>C7</f>
        <v>#DIV/0!</v>
      </c>
      <c r="D14" s="14" t="e">
        <f t="shared" si="0"/>
        <v>#DIV/0!</v>
      </c>
      <c r="E14" s="14" t="e">
        <f>E7</f>
        <v>#DIV/0!</v>
      </c>
      <c r="F14" s="14" t="e">
        <f t="shared" si="1"/>
        <v>#DIV/0!</v>
      </c>
      <c r="G14" s="15" t="e">
        <f t="shared" si="2"/>
        <v>#DIV/0!</v>
      </c>
      <c r="H14" s="14">
        <f>H7</f>
        <v>0</v>
      </c>
      <c r="I14" s="112" t="e">
        <f>I7</f>
        <v>#DIV/0!</v>
      </c>
      <c r="J14" s="8"/>
    </row>
    <row r="15" spans="1:18" x14ac:dyDescent="0.25">
      <c r="B15" s="13" t="s">
        <v>82</v>
      </c>
      <c r="C15" s="14" t="e">
        <f>15*D3-données!I19</f>
        <v>#DIV/0!</v>
      </c>
      <c r="D15" s="14" t="e">
        <f t="shared" si="0"/>
        <v>#DIV/0!</v>
      </c>
      <c r="E15" s="14">
        <v>0</v>
      </c>
      <c r="F15" s="14" t="e">
        <f t="shared" si="1"/>
        <v>#DIV/0!</v>
      </c>
      <c r="G15" s="15" t="e">
        <f t="shared" si="2"/>
        <v>#DIV/0!</v>
      </c>
      <c r="H15" s="15">
        <f>données!M34</f>
        <v>0</v>
      </c>
      <c r="I15" s="7" t="e">
        <f>D15*H15^2/12+D15*G15^2</f>
        <v>#DIV/0!</v>
      </c>
      <c r="J15" s="8"/>
    </row>
    <row r="16" spans="1:18" x14ac:dyDescent="0.25">
      <c r="B16" s="25" t="s">
        <v>6</v>
      </c>
      <c r="C16" s="16"/>
      <c r="D16" s="26" t="e">
        <f>SUM(D6:D15)</f>
        <v>#DIV/0!</v>
      </c>
      <c r="E16" s="17"/>
      <c r="F16" s="14" t="e">
        <f>SUM(F6:F15)</f>
        <v>#DIV/0!</v>
      </c>
      <c r="G16" s="17" t="e">
        <f>F16/D16</f>
        <v>#DIV/0!</v>
      </c>
      <c r="H16" s="17"/>
      <c r="I16" s="7" t="e">
        <f>SUM(I6:I15)</f>
        <v>#DIV/0!</v>
      </c>
      <c r="J16" s="8"/>
    </row>
    <row r="17" spans="1:18" x14ac:dyDescent="0.25">
      <c r="B17" s="18"/>
      <c r="C17" s="18"/>
      <c r="D17" s="18"/>
      <c r="E17" s="18"/>
      <c r="F17" s="18"/>
      <c r="G17" s="18"/>
      <c r="H17" s="19"/>
      <c r="I17" s="19"/>
      <c r="J17" s="19"/>
      <c r="K17" s="8"/>
      <c r="L17" s="8"/>
    </row>
    <row r="18" spans="1:18" ht="16.5" x14ac:dyDescent="0.3">
      <c r="B18" s="13" t="s">
        <v>5</v>
      </c>
      <c r="C18" s="13" t="s">
        <v>44</v>
      </c>
      <c r="D18" s="13" t="s">
        <v>47</v>
      </c>
      <c r="E18" s="13"/>
      <c r="F18" s="13"/>
      <c r="G18" s="13"/>
      <c r="H18" s="13"/>
      <c r="I18" s="13"/>
      <c r="J18" s="8"/>
      <c r="K18" s="13" t="s">
        <v>35</v>
      </c>
      <c r="L18" s="13" t="s">
        <v>36</v>
      </c>
      <c r="M18" s="13" t="s">
        <v>37</v>
      </c>
      <c r="N18" s="13" t="s">
        <v>38</v>
      </c>
      <c r="O18" s="13" t="s">
        <v>39</v>
      </c>
      <c r="P18" s="13" t="s">
        <v>40</v>
      </c>
      <c r="Q18" s="13" t="s">
        <v>41</v>
      </c>
      <c r="R18" s="13"/>
    </row>
    <row r="19" spans="1:18" ht="18.75" x14ac:dyDescent="0.3">
      <c r="A19" s="4"/>
      <c r="B19" s="13" t="s">
        <v>81</v>
      </c>
      <c r="C19" s="14" t="e">
        <f>largeur_eff_semelle!O5-données!I19</f>
        <v>#DIV/0!</v>
      </c>
      <c r="D19" s="14" t="e">
        <f>C19*$D$3</f>
        <v>#DIV/0!</v>
      </c>
      <c r="E19" s="14"/>
      <c r="F19" s="14"/>
      <c r="G19" s="15"/>
      <c r="H19" s="15"/>
      <c r="I19" s="7"/>
      <c r="J19" s="12" t="e">
        <f>15*D$3*H$6^3/12+15*D$3*D$3*G$6^2</f>
        <v>#DIV/0!</v>
      </c>
      <c r="K19" s="2" t="s">
        <v>42</v>
      </c>
      <c r="L19" s="2"/>
      <c r="M19" s="2" t="s">
        <v>43</v>
      </c>
      <c r="N19" s="2"/>
      <c r="O19" s="2" t="s">
        <v>101</v>
      </c>
      <c r="P19" s="2"/>
      <c r="Q19" s="2" t="s">
        <v>102</v>
      </c>
      <c r="R19" s="2"/>
    </row>
    <row r="20" spans="1:18" x14ac:dyDescent="0.25">
      <c r="A20" s="4"/>
      <c r="B20" s="13">
        <v>2</v>
      </c>
      <c r="C20" s="14" t="e">
        <f>C7</f>
        <v>#DIV/0!</v>
      </c>
      <c r="D20" s="14" t="e">
        <f t="shared" ref="D20:D28" si="3">C20*$D$3</f>
        <v>#DIV/0!</v>
      </c>
      <c r="E20" s="14"/>
      <c r="F20" s="14"/>
      <c r="G20" s="15"/>
      <c r="H20" s="15"/>
      <c r="I20" s="6"/>
      <c r="J20" s="8"/>
      <c r="K20" s="8"/>
      <c r="L20" s="8"/>
    </row>
    <row r="21" spans="1:18" x14ac:dyDescent="0.25">
      <c r="A21" s="4"/>
      <c r="B21" s="13">
        <v>3</v>
      </c>
      <c r="C21" s="14" t="e">
        <f t="shared" ref="C21:C27" si="4">C8</f>
        <v>#DIV/0!</v>
      </c>
      <c r="D21" s="14" t="e">
        <f t="shared" si="3"/>
        <v>#DIV/0!</v>
      </c>
      <c r="E21" s="45"/>
      <c r="F21" s="14"/>
      <c r="G21" s="15"/>
      <c r="H21" s="15"/>
      <c r="I21" s="7"/>
      <c r="J21" s="8"/>
      <c r="K21" s="8"/>
      <c r="L21" s="8"/>
    </row>
    <row r="22" spans="1:18" x14ac:dyDescent="0.25">
      <c r="A22" s="4"/>
      <c r="B22" s="13">
        <v>4</v>
      </c>
      <c r="C22" s="14" t="e">
        <f t="shared" si="4"/>
        <v>#DIV/0!</v>
      </c>
      <c r="D22" s="14" t="e">
        <f t="shared" si="3"/>
        <v>#DIV/0!</v>
      </c>
      <c r="E22" s="16"/>
      <c r="F22" s="14"/>
      <c r="G22" s="15"/>
      <c r="H22" s="15"/>
      <c r="I22" s="6"/>
      <c r="J22" s="8"/>
      <c r="K22" s="8"/>
      <c r="L22" s="8"/>
    </row>
    <row r="23" spans="1:18" x14ac:dyDescent="0.25">
      <c r="A23" s="4"/>
      <c r="B23" s="13">
        <v>5</v>
      </c>
      <c r="C23" s="14" t="e">
        <f t="shared" si="4"/>
        <v>#DIV/0!</v>
      </c>
      <c r="D23" s="14" t="e">
        <f t="shared" si="3"/>
        <v>#DIV/0!</v>
      </c>
      <c r="E23" s="45"/>
      <c r="F23" s="14"/>
      <c r="G23" s="15"/>
      <c r="H23" s="15"/>
      <c r="I23" s="7"/>
      <c r="J23" s="8"/>
      <c r="K23" s="8" t="s">
        <v>16</v>
      </c>
      <c r="L23" s="8" t="e">
        <f>F29/#REF!</f>
        <v>#REF!</v>
      </c>
    </row>
    <row r="24" spans="1:18" x14ac:dyDescent="0.25">
      <c r="A24" s="4"/>
      <c r="B24" s="13">
        <v>6</v>
      </c>
      <c r="C24" s="14" t="e">
        <f t="shared" si="4"/>
        <v>#DIV/0!</v>
      </c>
      <c r="D24" s="14" t="e">
        <f t="shared" si="3"/>
        <v>#DIV/0!</v>
      </c>
      <c r="E24" s="16"/>
      <c r="F24" s="14"/>
      <c r="G24" s="15"/>
      <c r="H24" s="15"/>
      <c r="I24" s="63"/>
      <c r="J24" s="8"/>
    </row>
    <row r="25" spans="1:18" x14ac:dyDescent="0.25">
      <c r="A25" s="4"/>
      <c r="B25" s="13">
        <v>7</v>
      </c>
      <c r="C25" s="14" t="e">
        <f t="shared" si="4"/>
        <v>#DIV/0!</v>
      </c>
      <c r="D25" s="14" t="e">
        <f t="shared" si="3"/>
        <v>#DIV/0!</v>
      </c>
      <c r="E25" s="14"/>
      <c r="F25" s="14"/>
      <c r="G25" s="15"/>
      <c r="H25" s="14"/>
      <c r="I25" s="110"/>
      <c r="J25" s="8"/>
    </row>
    <row r="26" spans="1:18" x14ac:dyDescent="0.25">
      <c r="A26" s="4"/>
      <c r="B26" s="13">
        <v>8</v>
      </c>
      <c r="C26" s="14" t="e">
        <f t="shared" si="4"/>
        <v>#DIV/0!</v>
      </c>
      <c r="D26" s="14" t="e">
        <f t="shared" si="3"/>
        <v>#DIV/0!</v>
      </c>
      <c r="E26" s="14"/>
      <c r="F26" s="14"/>
      <c r="G26" s="15"/>
      <c r="H26" s="14"/>
      <c r="I26" s="111"/>
      <c r="J26" s="8"/>
    </row>
    <row r="27" spans="1:18" x14ac:dyDescent="0.25">
      <c r="A27" s="4"/>
      <c r="B27" s="13">
        <v>9</v>
      </c>
      <c r="C27" s="14" t="e">
        <f t="shared" si="4"/>
        <v>#DIV/0!</v>
      </c>
      <c r="D27" s="14" t="e">
        <f t="shared" si="3"/>
        <v>#DIV/0!</v>
      </c>
      <c r="E27" s="14"/>
      <c r="F27" s="14"/>
      <c r="G27" s="15"/>
      <c r="H27" s="14"/>
      <c r="I27" s="112"/>
      <c r="J27" s="8"/>
    </row>
    <row r="28" spans="1:18" x14ac:dyDescent="0.25">
      <c r="B28" s="13" t="s">
        <v>82</v>
      </c>
      <c r="C28" s="14" t="e">
        <f>largeur_eff_semelle!O5-données!I19</f>
        <v>#DIV/0!</v>
      </c>
      <c r="D28" s="14" t="e">
        <f t="shared" si="3"/>
        <v>#DIV/0!</v>
      </c>
      <c r="E28" s="14"/>
      <c r="F28" s="14"/>
      <c r="G28" s="15"/>
      <c r="H28" s="15"/>
      <c r="I28" s="7"/>
      <c r="J28" s="8"/>
    </row>
    <row r="29" spans="1:18" x14ac:dyDescent="0.25">
      <c r="B29" s="25" t="s">
        <v>6</v>
      </c>
      <c r="C29" s="16"/>
      <c r="D29" s="26" t="e">
        <f>SUM(D19:D28)</f>
        <v>#DIV/0!</v>
      </c>
      <c r="E29" s="17"/>
      <c r="F29" s="14"/>
      <c r="G29" s="17"/>
      <c r="H29" s="17"/>
      <c r="I29" s="7"/>
      <c r="J29" s="8"/>
    </row>
    <row r="30" spans="1:18" x14ac:dyDescent="0.25">
      <c r="B30" s="18"/>
      <c r="C30" s="18"/>
      <c r="D30" s="18"/>
      <c r="E30" s="18"/>
      <c r="F30" s="18"/>
      <c r="G30" s="18"/>
      <c r="H30" s="19"/>
      <c r="I30" s="19"/>
      <c r="J30" s="19"/>
      <c r="K30" s="8"/>
      <c r="L30" s="8"/>
    </row>
    <row r="31" spans="1:18" x14ac:dyDescent="0.25">
      <c r="B31" s="18"/>
      <c r="C31" s="18"/>
      <c r="D31" s="18"/>
      <c r="E31" s="18"/>
      <c r="F31" s="18"/>
      <c r="G31" s="18"/>
      <c r="H31" s="19"/>
      <c r="I31" s="19"/>
      <c r="J31" s="19"/>
      <c r="K31" s="8"/>
      <c r="L31" s="8"/>
    </row>
    <row r="32" spans="1:18" ht="16.5" x14ac:dyDescent="0.3">
      <c r="B32" s="2" t="s">
        <v>111</v>
      </c>
      <c r="C32" s="2"/>
      <c r="D32" s="2" t="s">
        <v>25</v>
      </c>
      <c r="E32" s="2" t="s">
        <v>26</v>
      </c>
      <c r="F32" s="2" t="s">
        <v>27</v>
      </c>
      <c r="G32" s="2" t="s">
        <v>28</v>
      </c>
      <c r="H32" s="2" t="s">
        <v>107</v>
      </c>
      <c r="I32" s="2" t="s">
        <v>29</v>
      </c>
      <c r="J32" s="8"/>
      <c r="K32" s="8"/>
      <c r="L32" s="8"/>
    </row>
    <row r="33" spans="2:12" x14ac:dyDescent="0.25">
      <c r="B33" s="7" t="e">
        <f>2*C3+B3</f>
        <v>#DIV/0!</v>
      </c>
      <c r="C33" s="7"/>
      <c r="D33" s="7">
        <f>données!D15</f>
        <v>0</v>
      </c>
      <c r="E33" s="7" t="e">
        <f>données!M3</f>
        <v>#DIV/0!</v>
      </c>
      <c r="F33" s="7" t="e">
        <f>3.07*(I16*C3^2*(2*C3+3*B3)/D3^3)^0.25</f>
        <v>#DIV/0!</v>
      </c>
      <c r="G33" s="7" t="e">
        <f>F33/E33</f>
        <v>#DIV/0!</v>
      </c>
      <c r="H33" s="7" t="e">
        <f>((E33+2*B33)/(E33+0.5*B33))^0.5</f>
        <v>#DIV/0!</v>
      </c>
      <c r="I33" s="67" t="e">
        <f>IF(G33&gt;2,H33,(H33-(H33-1)*(2*F33/E33-(F33/E33)^2)))</f>
        <v>#DIV/0!</v>
      </c>
      <c r="J33" s="8"/>
      <c r="K33" s="8"/>
      <c r="L33" s="8"/>
    </row>
    <row r="34" spans="2:12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2:12" ht="16.5" x14ac:dyDescent="0.3">
      <c r="B35" s="2" t="s">
        <v>50</v>
      </c>
      <c r="C35" s="8"/>
      <c r="D35" s="8"/>
      <c r="E35" s="8"/>
      <c r="F35" s="8"/>
      <c r="G35" s="8"/>
      <c r="H35" s="8"/>
      <c r="I35" s="8"/>
      <c r="J35" s="8"/>
      <c r="K35" s="8"/>
    </row>
    <row r="36" spans="2:12" x14ac:dyDescent="0.25">
      <c r="B36" s="7" t="e">
        <f>4.2*I33*E3/D29*(I16*D3^3/4/C3^2/(2*C3+3*B3))^0.5</f>
        <v>#DIV/0!</v>
      </c>
      <c r="C36" s="8"/>
      <c r="D36" s="8"/>
      <c r="E36" s="8"/>
      <c r="F36" s="8"/>
      <c r="G36" s="8"/>
      <c r="H36" s="8"/>
      <c r="I36" s="8"/>
      <c r="J36" s="8"/>
      <c r="K36" s="8"/>
    </row>
    <row r="38" spans="2:12" ht="16.5" x14ac:dyDescent="0.3">
      <c r="B38" s="2" t="s">
        <v>20</v>
      </c>
      <c r="C38" s="2" t="s">
        <v>10</v>
      </c>
      <c r="D38" s="2" t="s">
        <v>108</v>
      </c>
      <c r="E38" s="2" t="s">
        <v>109</v>
      </c>
    </row>
    <row r="39" spans="2:12" x14ac:dyDescent="0.25">
      <c r="B39" s="6">
        <f>données!G3</f>
        <v>0</v>
      </c>
      <c r="C39" s="11" t="e">
        <f>(B39/B36)^0.5</f>
        <v>#DIV/0!</v>
      </c>
      <c r="D39" t="e">
        <f>IF(C39&lt;0.65,1,(1.47-0.723*C39))</f>
        <v>#DIV/0!</v>
      </c>
      <c r="E39" t="e">
        <f>IF(C39&gt;1.38,0.66/C39,D39)</f>
        <v>#DIV/0!</v>
      </c>
    </row>
    <row r="41" spans="2:12" ht="16.5" x14ac:dyDescent="0.3">
      <c r="B41" s="7" t="s">
        <v>11</v>
      </c>
      <c r="C41" s="13" t="s">
        <v>56</v>
      </c>
      <c r="E41" s="2" t="s">
        <v>142</v>
      </c>
    </row>
    <row r="42" spans="2:12" x14ac:dyDescent="0.25">
      <c r="B42" s="68" t="e">
        <f>E39</f>
        <v>#DIV/0!</v>
      </c>
      <c r="C42" s="14" t="e">
        <f>B42*données!E3</f>
        <v>#DIV/0!</v>
      </c>
      <c r="E42" t="e">
        <f>B39/largeur_eff_semelle!K5/largeur_eff_semelle!J5</f>
        <v>#DIV/0!</v>
      </c>
      <c r="G42" s="74" t="e">
        <f>B42*E42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windowProtection="1" topLeftCell="A2" workbookViewId="0">
      <selection activeCell="O11" sqref="O11"/>
    </sheetView>
  </sheetViews>
  <sheetFormatPr baseColWidth="10" defaultRowHeight="15" x14ac:dyDescent="0.25"/>
  <cols>
    <col min="2" max="2" width="5.42578125" bestFit="1" customWidth="1"/>
    <col min="3" max="3" width="4.42578125" bestFit="1" customWidth="1"/>
    <col min="4" max="4" width="11.28515625" bestFit="1" customWidth="1"/>
    <col min="5" max="5" width="10.28515625" bestFit="1" customWidth="1"/>
    <col min="6" max="6" width="4.42578125" bestFit="1" customWidth="1"/>
    <col min="7" max="7" width="6.85546875" customWidth="1"/>
    <col min="8" max="8" width="4.42578125" customWidth="1"/>
    <col min="9" max="9" width="5.42578125" bestFit="1" customWidth="1"/>
    <col min="10" max="10" width="7.140625" customWidth="1"/>
    <col min="11" max="11" width="5.42578125" customWidth="1"/>
    <col min="12" max="12" width="7.7109375" customWidth="1"/>
    <col min="13" max="13" width="5.42578125" bestFit="1" customWidth="1"/>
    <col min="14" max="14" width="7.85546875" bestFit="1" customWidth="1"/>
    <col min="15" max="15" width="8.42578125" bestFit="1" customWidth="1"/>
  </cols>
  <sheetData>
    <row r="2" spans="2:15" x14ac:dyDescent="0.25">
      <c r="B2" s="8" t="s">
        <v>138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6.5" x14ac:dyDescent="0.3">
      <c r="B4" s="2" t="s">
        <v>21</v>
      </c>
      <c r="C4" s="2" t="s">
        <v>0</v>
      </c>
      <c r="D4" s="2" t="s">
        <v>20</v>
      </c>
      <c r="E4" s="2" t="s">
        <v>2</v>
      </c>
      <c r="F4" s="2" t="s">
        <v>1</v>
      </c>
      <c r="G4" s="42" t="s">
        <v>80</v>
      </c>
      <c r="H4" s="39" t="s">
        <v>76</v>
      </c>
      <c r="I4" s="2" t="s">
        <v>22</v>
      </c>
      <c r="J4" s="40" t="s">
        <v>78</v>
      </c>
      <c r="K4" s="41" t="s">
        <v>79</v>
      </c>
      <c r="L4" s="2" t="s">
        <v>77</v>
      </c>
      <c r="M4" s="2" t="s">
        <v>3</v>
      </c>
      <c r="N4" s="10" t="s">
        <v>23</v>
      </c>
      <c r="O4" s="10" t="s">
        <v>139</v>
      </c>
    </row>
    <row r="5" spans="2:15" x14ac:dyDescent="0.25">
      <c r="B5" s="7" t="e">
        <f>données!$C$8-données!$C$20-données!$I$18</f>
        <v>#DIV/0!</v>
      </c>
      <c r="C5" s="7">
        <f>données!$E$3</f>
        <v>0</v>
      </c>
      <c r="D5" s="37">
        <f>données!$G$3</f>
        <v>0</v>
      </c>
      <c r="E5" s="7">
        <f>données!H$3</f>
        <v>0</v>
      </c>
      <c r="F5" s="7">
        <v>4</v>
      </c>
      <c r="G5" s="7">
        <v>1</v>
      </c>
      <c r="H5" s="7" t="e">
        <f>(235/D5)^0.5</f>
        <v>#DIV/0!</v>
      </c>
      <c r="I5" s="11" t="e">
        <f>B5/C5/28.4/H5/(F5)^0.5</f>
        <v>#DIV/0!</v>
      </c>
      <c r="J5" s="11" t="e">
        <f>raidisseur!B42*MIN(D5,D5*(données!L$3-données!$L$48)/données!$L$48)</f>
        <v>#DIV/0!</v>
      </c>
      <c r="K5" s="11">
        <v>1</v>
      </c>
      <c r="L5" s="11" t="e">
        <f>I5*SQRT(J5/D5/K5)</f>
        <v>#DIV/0!</v>
      </c>
      <c r="M5" s="11" t="e">
        <f>IF(L5&gt;0.673,(L5-0.055*(3+G5))/L5^2+0.18*(I5-L5)/(I5-0.6),1)</f>
        <v>#DIV/0!</v>
      </c>
      <c r="N5" s="7" t="e">
        <f>M5*B5</f>
        <v>#DIV/0!</v>
      </c>
      <c r="O5" s="65" t="e">
        <f>N5/2</f>
        <v>#DIV/0!</v>
      </c>
    </row>
    <row r="6" spans="2:15" x14ac:dyDescent="0.25">
      <c r="B6" s="8"/>
      <c r="C6" s="8"/>
      <c r="D6" s="3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5" x14ac:dyDescent="0.25">
      <c r="B7" s="8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2:15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2:15" ht="16.5" x14ac:dyDescent="0.3">
      <c r="B9" s="2" t="s">
        <v>21</v>
      </c>
      <c r="C9" s="2" t="s">
        <v>0</v>
      </c>
      <c r="D9" s="2" t="s">
        <v>20</v>
      </c>
      <c r="E9" s="2" t="s">
        <v>2</v>
      </c>
      <c r="F9" s="2" t="s">
        <v>1</v>
      </c>
      <c r="G9" s="42" t="s">
        <v>80</v>
      </c>
      <c r="H9" s="39" t="s">
        <v>76</v>
      </c>
      <c r="I9" s="2" t="s">
        <v>22</v>
      </c>
      <c r="J9" s="40" t="s">
        <v>78</v>
      </c>
      <c r="K9" s="41" t="s">
        <v>79</v>
      </c>
      <c r="L9" s="2" t="s">
        <v>77</v>
      </c>
      <c r="M9" s="2" t="s">
        <v>3</v>
      </c>
      <c r="N9" s="10" t="s">
        <v>23</v>
      </c>
      <c r="O9" s="10" t="s">
        <v>140</v>
      </c>
    </row>
    <row r="10" spans="2:15" x14ac:dyDescent="0.25">
      <c r="B10" s="7" t="e">
        <f>données!$C$8-données!$C$20-données!$I$18</f>
        <v>#DIV/0!</v>
      </c>
      <c r="C10" s="7">
        <f>données!$E$3</f>
        <v>0</v>
      </c>
      <c r="D10" s="37">
        <f>données!$G$3</f>
        <v>0</v>
      </c>
      <c r="E10" s="7">
        <f>données!H$3</f>
        <v>0</v>
      </c>
      <c r="F10" s="7">
        <v>4</v>
      </c>
      <c r="G10" s="7">
        <v>1</v>
      </c>
      <c r="H10" s="7" t="e">
        <f>(235/D10)^0.5</f>
        <v>#DIV/0!</v>
      </c>
      <c r="I10" s="11" t="e">
        <f>B10/C10/28.4/H10/(F10)^0.5</f>
        <v>#DIV/0!</v>
      </c>
      <c r="J10" s="11" t="e">
        <f>MIN(D10,D10*(données!L$3-données!$L$48)/données!$L$48)</f>
        <v>#DIV/0!</v>
      </c>
      <c r="K10" s="11">
        <v>1</v>
      </c>
      <c r="L10" s="11" t="e">
        <f>I10*SQRT(J10/D10/K10)</f>
        <v>#DIV/0!</v>
      </c>
      <c r="M10" s="11" t="e">
        <f>IF(L10&gt;0.673,(L10-0.055*(3+G10))/L10^2+0.18*(I10-L10)/(I10-0.6),1)</f>
        <v>#DIV/0!</v>
      </c>
      <c r="N10" s="7" t="e">
        <f>M10*B10</f>
        <v>#DIV/0!</v>
      </c>
      <c r="O10" s="65" t="e">
        <f>N10/2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windowProtection="1" workbookViewId="0">
      <selection activeCell="I25" sqref="I25"/>
    </sheetView>
  </sheetViews>
  <sheetFormatPr baseColWidth="10" defaultRowHeight="15" x14ac:dyDescent="0.25"/>
  <cols>
    <col min="6" max="6" width="11.42578125" customWidth="1"/>
  </cols>
  <sheetData>
    <row r="2" spans="2:9" ht="16.5" x14ac:dyDescent="0.3">
      <c r="B2" s="2" t="s">
        <v>0</v>
      </c>
      <c r="C2" s="2" t="s">
        <v>2</v>
      </c>
      <c r="D2" s="2" t="s">
        <v>20</v>
      </c>
      <c r="E2" s="41" t="s">
        <v>79</v>
      </c>
      <c r="F2" s="40" t="s">
        <v>78</v>
      </c>
      <c r="G2" s="2" t="s">
        <v>83</v>
      </c>
      <c r="H2" s="2" t="s">
        <v>33</v>
      </c>
      <c r="I2" s="8"/>
    </row>
    <row r="3" spans="2:9" x14ac:dyDescent="0.25">
      <c r="B3" s="2">
        <f>données!E3</f>
        <v>0</v>
      </c>
      <c r="C3" s="7">
        <f>données!H3</f>
        <v>0</v>
      </c>
      <c r="D3" s="46">
        <f>données!G3</f>
        <v>0</v>
      </c>
      <c r="E3" s="11">
        <v>1</v>
      </c>
      <c r="F3" s="11" t="e">
        <f>MIN(D3,D3*(données!L3-données!$L$48)/données!$L$48)</f>
        <v>#DIV/0!</v>
      </c>
      <c r="G3" s="7" t="e">
        <f>données!L3-données!L48</f>
        <v>#DIV/0!</v>
      </c>
      <c r="H3" s="2" t="e">
        <f>G3/SIN(données!B3)-données!C20</f>
        <v>#DIV/0!</v>
      </c>
      <c r="I3" s="8"/>
    </row>
    <row r="4" spans="2:9" x14ac:dyDescent="0.25">
      <c r="B4" s="8"/>
      <c r="C4" s="8"/>
      <c r="D4" s="8"/>
      <c r="E4" s="8"/>
      <c r="F4" s="8"/>
      <c r="G4" s="8"/>
      <c r="H4" s="8"/>
    </row>
    <row r="5" spans="2:9" ht="16.5" x14ac:dyDescent="0.3">
      <c r="B5" s="2" t="s">
        <v>30</v>
      </c>
      <c r="C5" s="2" t="s">
        <v>31</v>
      </c>
      <c r="D5" s="2" t="s">
        <v>112</v>
      </c>
      <c r="E5" s="2" t="s">
        <v>113</v>
      </c>
      <c r="F5" s="8" t="s">
        <v>114</v>
      </c>
      <c r="G5" s="8"/>
      <c r="H5" s="8"/>
    </row>
    <row r="6" spans="2:9" x14ac:dyDescent="0.25">
      <c r="B6" s="66" t="e">
        <f>0.95*B3*(C3/F3/E3)^0.5</f>
        <v>#DIV/0!</v>
      </c>
      <c r="C6" s="66" t="e">
        <f>B6</f>
        <v>#DIV/0!</v>
      </c>
      <c r="D6" s="7" t="e">
        <f>1.5*C6</f>
        <v>#DIV/0!</v>
      </c>
      <c r="E6" s="9" t="e">
        <f>C6+D6</f>
        <v>#DIV/0!</v>
      </c>
      <c r="F6" s="8"/>
      <c r="G6" s="69" t="s">
        <v>117</v>
      </c>
      <c r="H6" s="8"/>
    </row>
    <row r="7" spans="2:9" x14ac:dyDescent="0.25">
      <c r="B7" s="8"/>
      <c r="C7" s="8"/>
      <c r="D7" s="8"/>
      <c r="E7" s="8"/>
      <c r="F7" s="8"/>
      <c r="G7" s="8"/>
      <c r="H7" s="8"/>
    </row>
    <row r="8" spans="2:9" x14ac:dyDescent="0.25">
      <c r="B8" s="70" t="s">
        <v>9</v>
      </c>
      <c r="C8" s="71"/>
      <c r="D8" s="71"/>
      <c r="E8" s="71"/>
      <c r="F8" s="8"/>
      <c r="G8" s="8"/>
      <c r="H8" s="8"/>
    </row>
    <row r="9" spans="2:9" x14ac:dyDescent="0.25">
      <c r="B9" s="8"/>
      <c r="C9" s="8"/>
      <c r="D9" s="8"/>
      <c r="E9" s="8"/>
      <c r="F9" s="8"/>
      <c r="G9" s="8"/>
      <c r="H9" s="8"/>
    </row>
    <row r="10" spans="2:9" ht="18.75" x14ac:dyDescent="0.3">
      <c r="B10" s="13" t="s">
        <v>5</v>
      </c>
      <c r="C10" s="13" t="s">
        <v>44</v>
      </c>
      <c r="D10" s="13" t="s">
        <v>47</v>
      </c>
      <c r="E10" s="13" t="s">
        <v>45</v>
      </c>
      <c r="F10" s="13" t="s">
        <v>48</v>
      </c>
      <c r="G10" s="13" t="s">
        <v>32</v>
      </c>
      <c r="H10" s="8"/>
    </row>
    <row r="11" spans="2:9" x14ac:dyDescent="0.25">
      <c r="B11" s="43">
        <v>1</v>
      </c>
      <c r="C11" s="44">
        <f>largeur_eff_semelle!O10</f>
        <v>0</v>
      </c>
      <c r="D11" s="44">
        <f>C11*$B$3</f>
        <v>0</v>
      </c>
      <c r="E11" s="44">
        <v>0</v>
      </c>
      <c r="F11" s="44">
        <f>D11*E11</f>
        <v>0</v>
      </c>
      <c r="G11" s="47"/>
      <c r="H11" s="48"/>
    </row>
    <row r="12" spans="2:9" x14ac:dyDescent="0.25">
      <c r="B12" s="43">
        <v>2</v>
      </c>
      <c r="C12" s="44" t="e">
        <f>données!#REF!</f>
        <v>#REF!</v>
      </c>
      <c r="D12" s="44" t="e">
        <f>C12*$B$3</f>
        <v>#REF!</v>
      </c>
      <c r="E12" s="43" t="e">
        <f>données!#REF!/2</f>
        <v>#REF!</v>
      </c>
      <c r="F12" s="44" t="e">
        <f>D12*E12</f>
        <v>#REF!</v>
      </c>
      <c r="G12" s="47"/>
      <c r="H12" s="48"/>
    </row>
    <row r="13" spans="2:9" x14ac:dyDescent="0.25">
      <c r="B13" s="43">
        <v>3</v>
      </c>
      <c r="C13" s="44">
        <f>données!C6</f>
        <v>0</v>
      </c>
      <c r="D13" s="44">
        <f>C13*$B$3</f>
        <v>0</v>
      </c>
      <c r="E13" s="43">
        <f>données!D6/2</f>
        <v>0</v>
      </c>
      <c r="F13" s="44">
        <f>D13*E13</f>
        <v>0</v>
      </c>
      <c r="G13" s="47"/>
      <c r="H13" s="48"/>
    </row>
    <row r="14" spans="2:9" x14ac:dyDescent="0.25">
      <c r="B14" s="43">
        <v>4</v>
      </c>
      <c r="C14" s="44" t="e">
        <f>largeur_eff_semelle!O5</f>
        <v>#DIV/0!</v>
      </c>
      <c r="D14" s="44" t="e">
        <f>C14*$B$3</f>
        <v>#DIV/0!</v>
      </c>
      <c r="E14" s="44">
        <v>0</v>
      </c>
      <c r="F14" s="44" t="e">
        <f>D14*E14</f>
        <v>#DIV/0!</v>
      </c>
      <c r="G14" s="48"/>
      <c r="H14" s="48"/>
    </row>
    <row r="15" spans="2:9" x14ac:dyDescent="0.25">
      <c r="B15" s="43">
        <v>5</v>
      </c>
      <c r="C15" s="44" t="e">
        <f>largeur_eff_semelle!O5</f>
        <v>#DIV/0!</v>
      </c>
      <c r="D15" s="44" t="e">
        <f t="shared" ref="D15:D20" si="0">C15*$B$3</f>
        <v>#DIV/0!</v>
      </c>
      <c r="E15" s="44">
        <f>F8/2</f>
        <v>0</v>
      </c>
      <c r="F15" s="44" t="e">
        <f t="shared" ref="F15:F20" si="1">D15*E15</f>
        <v>#DIV/0!</v>
      </c>
      <c r="G15" s="48"/>
      <c r="H15" s="48"/>
    </row>
    <row r="16" spans="2:9" x14ac:dyDescent="0.25">
      <c r="B16" s="43">
        <v>6</v>
      </c>
      <c r="C16" s="44">
        <f>données!C8</f>
        <v>0</v>
      </c>
      <c r="D16" s="44">
        <f t="shared" si="0"/>
        <v>0</v>
      </c>
      <c r="E16" s="49">
        <f>données!D8/2</f>
        <v>0</v>
      </c>
      <c r="F16" s="44">
        <f t="shared" si="1"/>
        <v>0</v>
      </c>
      <c r="G16" s="48"/>
      <c r="H16" s="48"/>
    </row>
    <row r="17" spans="2:8" x14ac:dyDescent="0.25">
      <c r="B17" s="43">
        <v>7</v>
      </c>
      <c r="C17" s="44">
        <f>données!C9</f>
        <v>0</v>
      </c>
      <c r="D17" s="44">
        <f t="shared" si="0"/>
        <v>0</v>
      </c>
      <c r="E17" s="44">
        <f>données!D8+données!D9/2</f>
        <v>0</v>
      </c>
      <c r="F17" s="44">
        <f t="shared" si="1"/>
        <v>0</v>
      </c>
      <c r="G17" s="48"/>
      <c r="H17" s="48"/>
    </row>
    <row r="18" spans="2:8" x14ac:dyDescent="0.25">
      <c r="B18" s="43">
        <v>8</v>
      </c>
      <c r="C18" s="50">
        <f>données!C11</f>
        <v>0</v>
      </c>
      <c r="D18" s="44">
        <f>C18*$B$3</f>
        <v>0</v>
      </c>
      <c r="E18" s="44">
        <f>données!D8+données!D9+données!D11/2</f>
        <v>0</v>
      </c>
      <c r="F18" s="44">
        <f t="shared" si="1"/>
        <v>0</v>
      </c>
      <c r="G18" s="48"/>
      <c r="H18" s="48"/>
    </row>
    <row r="19" spans="2:8" x14ac:dyDescent="0.25">
      <c r="B19" s="43">
        <v>9</v>
      </c>
      <c r="C19" s="50">
        <f>données!C13</f>
        <v>0</v>
      </c>
      <c r="D19" s="44">
        <f t="shared" si="0"/>
        <v>0</v>
      </c>
      <c r="E19" s="44">
        <f>données!D15</f>
        <v>0</v>
      </c>
      <c r="F19" s="44">
        <f t="shared" si="1"/>
        <v>0</v>
      </c>
      <c r="G19" s="48"/>
      <c r="H19" s="48"/>
    </row>
    <row r="20" spans="2:8" x14ac:dyDescent="0.25">
      <c r="B20" s="43">
        <v>10</v>
      </c>
      <c r="C20" s="50">
        <f>données!C14</f>
        <v>0</v>
      </c>
      <c r="D20" s="44">
        <f t="shared" si="0"/>
        <v>0</v>
      </c>
      <c r="E20" s="44">
        <f>données!D15-données!D14/2</f>
        <v>0</v>
      </c>
      <c r="F20" s="44">
        <f t="shared" si="1"/>
        <v>0</v>
      </c>
      <c r="G20" s="48"/>
      <c r="H20" s="48"/>
    </row>
    <row r="21" spans="2:8" x14ac:dyDescent="0.25">
      <c r="B21" s="43" t="s">
        <v>6</v>
      </c>
      <c r="C21" s="48"/>
      <c r="D21" s="51" t="e">
        <f>SUM(D11:D20)</f>
        <v>#REF!</v>
      </c>
      <c r="E21" s="48"/>
      <c r="F21" s="51" t="e">
        <f>SUM(F11:F20)</f>
        <v>#REF!</v>
      </c>
      <c r="G21" s="51" t="e">
        <f>F21/D21</f>
        <v>#REF!</v>
      </c>
      <c r="H21" s="48"/>
    </row>
    <row r="22" spans="2:8" x14ac:dyDescent="0.25">
      <c r="B22" s="48"/>
      <c r="C22" s="48"/>
      <c r="D22" s="48"/>
      <c r="E22" s="48"/>
      <c r="F22" s="48"/>
      <c r="G22" s="48"/>
      <c r="H22" s="48"/>
    </row>
    <row r="23" spans="2:8" ht="16.5" x14ac:dyDescent="0.3">
      <c r="B23" s="52" t="s">
        <v>84</v>
      </c>
      <c r="C23" s="52" t="s">
        <v>85</v>
      </c>
      <c r="D23" s="48"/>
      <c r="E23" s="48"/>
      <c r="F23" s="48"/>
      <c r="G23" s="48"/>
      <c r="H23" s="53" t="s">
        <v>86</v>
      </c>
    </row>
    <row r="24" spans="2:8" x14ac:dyDescent="0.25">
      <c r="B24" s="51">
        <f>données!D8</f>
        <v>0</v>
      </c>
      <c r="C24" s="51" t="e">
        <f>(1+0.5*B24/G21)*B6</f>
        <v>#REF!</v>
      </c>
      <c r="D24" s="48"/>
      <c r="E24" s="48"/>
      <c r="F24" s="48"/>
      <c r="G24" s="48"/>
      <c r="H24" s="51" t="e">
        <f>D27/(C27+D27)*E27</f>
        <v>#DIV/0!</v>
      </c>
    </row>
    <row r="25" spans="2:8" x14ac:dyDescent="0.25">
      <c r="B25" s="48"/>
      <c r="C25" s="48"/>
      <c r="D25" s="48"/>
      <c r="E25" s="48"/>
      <c r="F25" s="48"/>
      <c r="G25" s="48"/>
      <c r="H25" s="54"/>
    </row>
    <row r="26" spans="2:8" ht="16.5" x14ac:dyDescent="0.3">
      <c r="B26" s="52" t="s">
        <v>87</v>
      </c>
      <c r="C26" s="52" t="s">
        <v>88</v>
      </c>
      <c r="D26" s="2" t="s">
        <v>112</v>
      </c>
      <c r="E26" s="52" t="s">
        <v>89</v>
      </c>
      <c r="F26" s="52" t="s">
        <v>90</v>
      </c>
      <c r="G26" s="53" t="s">
        <v>88</v>
      </c>
      <c r="H26" s="54"/>
    </row>
    <row r="27" spans="2:8" x14ac:dyDescent="0.25">
      <c r="B27" s="51">
        <f>données!F7</f>
        <v>0</v>
      </c>
      <c r="C27" s="51" t="e">
        <f>(1+0.5*(B24+B27)/G21)*B6</f>
        <v>#REF!</v>
      </c>
      <c r="D27" s="7" t="e">
        <f>1.5*B6</f>
        <v>#DIV/0!</v>
      </c>
      <c r="E27" s="51" t="e">
        <f>C6+D28+D27+E32</f>
        <v>#DIV/0!</v>
      </c>
      <c r="F27" s="51" t="e">
        <f>C27+D27</f>
        <v>#REF!</v>
      </c>
      <c r="G27" s="51" t="e">
        <f>C27/(C27+D27)*E27</f>
        <v>#REF!</v>
      </c>
      <c r="H27" s="54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windowProtection="1" topLeftCell="A17" workbookViewId="0">
      <selection activeCell="E43" sqref="E43"/>
    </sheetView>
  </sheetViews>
  <sheetFormatPr baseColWidth="10" defaultRowHeight="15" x14ac:dyDescent="0.25"/>
  <cols>
    <col min="2" max="2" width="11.42578125" bestFit="1" customWidth="1"/>
    <col min="3" max="3" width="7.7109375" bestFit="1" customWidth="1"/>
    <col min="4" max="4" width="8.28515625" bestFit="1" customWidth="1"/>
    <col min="5" max="5" width="11.140625" customWidth="1"/>
    <col min="6" max="6" width="8.42578125" customWidth="1"/>
    <col min="7" max="7" width="10.28515625" bestFit="1" customWidth="1"/>
    <col min="8" max="8" width="7.42578125" bestFit="1" customWidth="1"/>
    <col min="11" max="11" width="14.85546875" bestFit="1" customWidth="1"/>
    <col min="12" max="12" width="17" customWidth="1"/>
    <col min="13" max="13" width="17" bestFit="1" customWidth="1"/>
    <col min="14" max="15" width="14.85546875" bestFit="1" customWidth="1"/>
    <col min="16" max="16" width="16.140625" bestFit="1" customWidth="1"/>
    <col min="17" max="17" width="17" bestFit="1" customWidth="1"/>
    <col min="18" max="18" width="14.85546875" bestFit="1" customWidth="1"/>
  </cols>
  <sheetData>
    <row r="2" spans="1:18" ht="16.5" x14ac:dyDescent="0.3">
      <c r="B2" s="2" t="s">
        <v>24</v>
      </c>
      <c r="C2" s="2" t="s">
        <v>21</v>
      </c>
      <c r="D2" s="2" t="s">
        <v>0</v>
      </c>
      <c r="E2" s="2" t="s">
        <v>2</v>
      </c>
      <c r="F2" s="10" t="s">
        <v>8</v>
      </c>
      <c r="G2" s="8"/>
      <c r="H2" s="8"/>
      <c r="I2" s="8"/>
      <c r="J2" s="8"/>
    </row>
    <row r="3" spans="1:18" x14ac:dyDescent="0.25">
      <c r="B3" s="7" t="e">
        <f>(données!C30+données!C31+données!C32+données!C33/2)*2</f>
        <v>#DIV/0!</v>
      </c>
      <c r="C3" s="7" t="e">
        <f>largeur_eff_semelle!B5</f>
        <v>#DIV/0!</v>
      </c>
      <c r="D3" s="2">
        <f>données!E3</f>
        <v>0</v>
      </c>
      <c r="E3" s="7">
        <f>données!H3</f>
        <v>0</v>
      </c>
      <c r="F3" s="12">
        <f>données!D6</f>
        <v>0</v>
      </c>
      <c r="G3" s="8"/>
      <c r="H3" s="8"/>
      <c r="I3" s="8"/>
      <c r="J3" s="8"/>
    </row>
    <row r="4" spans="1:18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8.75" x14ac:dyDescent="0.3">
      <c r="B5" s="13" t="s">
        <v>5</v>
      </c>
      <c r="C5" s="13" t="s">
        <v>44</v>
      </c>
      <c r="D5" s="13" t="s">
        <v>47</v>
      </c>
      <c r="E5" s="13" t="s">
        <v>45</v>
      </c>
      <c r="F5" s="13" t="s">
        <v>48</v>
      </c>
      <c r="G5" s="13" t="s">
        <v>46</v>
      </c>
      <c r="H5" s="13" t="s">
        <v>8</v>
      </c>
      <c r="I5" s="13" t="s">
        <v>49</v>
      </c>
      <c r="J5" s="8"/>
      <c r="K5" s="13" t="s">
        <v>35</v>
      </c>
      <c r="L5" s="13" t="s">
        <v>36</v>
      </c>
      <c r="M5" s="13" t="s">
        <v>37</v>
      </c>
      <c r="N5" s="13" t="s">
        <v>38</v>
      </c>
      <c r="O5" s="13" t="s">
        <v>39</v>
      </c>
      <c r="P5" s="13" t="s">
        <v>40</v>
      </c>
      <c r="Q5" s="13" t="s">
        <v>41</v>
      </c>
      <c r="R5" s="13"/>
    </row>
    <row r="6" spans="1:18" ht="18.75" x14ac:dyDescent="0.3">
      <c r="A6" s="4"/>
      <c r="B6" s="13" t="s">
        <v>81</v>
      </c>
      <c r="C6" s="14" t="e">
        <f>15*D3-données!I19</f>
        <v>#DIV/0!</v>
      </c>
      <c r="D6" s="14" t="e">
        <f>C6*$D$3</f>
        <v>#DIV/0!</v>
      </c>
      <c r="E6" s="14">
        <v>0</v>
      </c>
      <c r="F6" s="14" t="e">
        <f>D6*E6</f>
        <v>#DIV/0!</v>
      </c>
      <c r="G6" s="15" t="e">
        <f>$G$16-E6</f>
        <v>#DIV/0!</v>
      </c>
      <c r="H6" s="15">
        <f>D3</f>
        <v>0</v>
      </c>
      <c r="I6" s="7" t="e">
        <f>D6*H6^2/12+D6*G6^2</f>
        <v>#DIV/0!</v>
      </c>
      <c r="J6" s="12" t="e">
        <f>15*D$3*H$6^3/12+15*D$3*D$3*G$6^2</f>
        <v>#DIV/0!</v>
      </c>
      <c r="K6" s="2" t="s">
        <v>42</v>
      </c>
      <c r="L6" s="2"/>
      <c r="M6" s="2" t="s">
        <v>43</v>
      </c>
      <c r="N6" s="2"/>
      <c r="O6" s="2" t="s">
        <v>101</v>
      </c>
      <c r="P6" s="2"/>
      <c r="Q6" s="2" t="s">
        <v>102</v>
      </c>
      <c r="R6" s="2"/>
    </row>
    <row r="7" spans="1:18" x14ac:dyDescent="0.25">
      <c r="A7" s="4"/>
      <c r="B7" s="13">
        <v>2</v>
      </c>
      <c r="C7" s="14" t="e">
        <f>données!C33</f>
        <v>#DIV/0!</v>
      </c>
      <c r="D7" s="14" t="e">
        <f t="shared" ref="D7:D15" si="0">C7*$D$3</f>
        <v>#DIV/0!</v>
      </c>
      <c r="E7" s="14" t="e">
        <f>données!I27</f>
        <v>#DIV/0!</v>
      </c>
      <c r="F7" s="14" t="e">
        <f t="shared" ref="F7:F15" si="1">D7*E7</f>
        <v>#DIV/0!</v>
      </c>
      <c r="G7" s="15" t="e">
        <f t="shared" ref="G7:G15" si="2">$G$16-E7</f>
        <v>#DIV/0!</v>
      </c>
      <c r="H7" s="15"/>
      <c r="I7" s="6" t="e">
        <f>D3*données!P$3^3*((données!I$17+SIN(données!I$17)*COS(données!I$17))/2-SIN(données!I$17)^2/données!I$17)+D7*G7^2</f>
        <v>#DIV/0!</v>
      </c>
      <c r="J7" s="8"/>
      <c r="K7" s="8"/>
      <c r="L7" s="8"/>
    </row>
    <row r="8" spans="1:18" x14ac:dyDescent="0.25">
      <c r="A8" s="4"/>
      <c r="B8" s="13">
        <v>3</v>
      </c>
      <c r="C8" s="14" t="e">
        <f>données!C32</f>
        <v>#DIV/0!</v>
      </c>
      <c r="D8" s="14" t="e">
        <f t="shared" si="0"/>
        <v>#DIV/0!</v>
      </c>
      <c r="E8" s="45">
        <f>données!N3/2</f>
        <v>0</v>
      </c>
      <c r="F8" s="14" t="e">
        <f t="shared" si="1"/>
        <v>#DIV/0!</v>
      </c>
      <c r="G8" s="15" t="e">
        <f t="shared" si="2"/>
        <v>#DIV/0!</v>
      </c>
      <c r="H8" s="15" t="e">
        <f>données!M32</f>
        <v>#DIV/0!</v>
      </c>
      <c r="I8" s="7" t="e">
        <f>D8*H8^2/12+D8*G8^2</f>
        <v>#DIV/0!</v>
      </c>
      <c r="J8" s="8"/>
      <c r="K8" s="8"/>
      <c r="L8" s="8"/>
    </row>
    <row r="9" spans="1:18" x14ac:dyDescent="0.25">
      <c r="A9" s="4"/>
      <c r="B9" s="13">
        <v>4</v>
      </c>
      <c r="C9" s="14" t="e">
        <f>données!C31</f>
        <v>#DIV/0!</v>
      </c>
      <c r="D9" s="14" t="e">
        <f t="shared" si="0"/>
        <v>#DIV/0!</v>
      </c>
      <c r="E9" s="16" t="e">
        <f>données!N3-données!I27</f>
        <v>#DIV/0!</v>
      </c>
      <c r="F9" s="14" t="e">
        <f t="shared" si="1"/>
        <v>#DIV/0!</v>
      </c>
      <c r="G9" s="15" t="e">
        <f t="shared" si="2"/>
        <v>#DIV/0!</v>
      </c>
      <c r="H9" s="15"/>
      <c r="I9" s="6" t="e">
        <f>D3*données!P$3^3*((données!L$17+SIN(données!L$17)*COS(données!L$17))/2-SIN(données!L$17)^2/données!L$17)+D9*G9^2</f>
        <v>#DIV/0!</v>
      </c>
      <c r="J9" s="8"/>
      <c r="K9" s="8"/>
      <c r="L9" s="8"/>
    </row>
    <row r="10" spans="1:18" x14ac:dyDescent="0.25">
      <c r="A10" s="4"/>
      <c r="B10" s="13">
        <v>5</v>
      </c>
      <c r="C10" s="14" t="e">
        <f>données!C30</f>
        <v>#DIV/0!</v>
      </c>
      <c r="D10" s="14" t="e">
        <f t="shared" si="0"/>
        <v>#DIV/0!</v>
      </c>
      <c r="E10" s="45">
        <f>données!N3</f>
        <v>0</v>
      </c>
      <c r="F10" s="14" t="e">
        <f t="shared" si="1"/>
        <v>#DIV/0!</v>
      </c>
      <c r="G10" s="15" t="e">
        <f t="shared" si="2"/>
        <v>#DIV/0!</v>
      </c>
      <c r="H10" s="15">
        <f>D3</f>
        <v>0</v>
      </c>
      <c r="I10" s="7" t="e">
        <f>D10*H10^2/12+D10*G10^2</f>
        <v>#DIV/0!</v>
      </c>
      <c r="J10" s="8"/>
      <c r="K10" s="8" t="s">
        <v>16</v>
      </c>
      <c r="L10" s="8" t="e">
        <f>F16/#REF!</f>
        <v>#DIV/0!</v>
      </c>
    </row>
    <row r="11" spans="1:18" x14ac:dyDescent="0.25">
      <c r="A11" s="4"/>
      <c r="B11" s="13">
        <v>6</v>
      </c>
      <c r="C11" s="14" t="e">
        <f>C10</f>
        <v>#DIV/0!</v>
      </c>
      <c r="D11" s="14" t="e">
        <f t="shared" si="0"/>
        <v>#DIV/0!</v>
      </c>
      <c r="E11" s="16">
        <f>E10</f>
        <v>0</v>
      </c>
      <c r="F11" s="14" t="e">
        <f t="shared" si="1"/>
        <v>#DIV/0!</v>
      </c>
      <c r="G11" s="15" t="e">
        <f t="shared" si="2"/>
        <v>#DIV/0!</v>
      </c>
      <c r="H11" s="15">
        <f>H10</f>
        <v>0</v>
      </c>
      <c r="I11" s="63" t="e">
        <f>I10</f>
        <v>#DIV/0!</v>
      </c>
      <c r="J11" s="8"/>
    </row>
    <row r="12" spans="1:18" x14ac:dyDescent="0.25">
      <c r="A12" s="4"/>
      <c r="B12" s="13">
        <v>7</v>
      </c>
      <c r="C12" s="14" t="e">
        <f>C9</f>
        <v>#DIV/0!</v>
      </c>
      <c r="D12" s="14" t="e">
        <f t="shared" si="0"/>
        <v>#DIV/0!</v>
      </c>
      <c r="E12" s="14" t="e">
        <f>E9</f>
        <v>#DIV/0!</v>
      </c>
      <c r="F12" s="14" t="e">
        <f t="shared" si="1"/>
        <v>#DIV/0!</v>
      </c>
      <c r="G12" s="15" t="e">
        <f t="shared" si="2"/>
        <v>#DIV/0!</v>
      </c>
      <c r="H12" s="14">
        <f>H9</f>
        <v>0</v>
      </c>
      <c r="I12" s="110" t="e">
        <f>I9</f>
        <v>#DIV/0!</v>
      </c>
      <c r="J12" s="8"/>
    </row>
    <row r="13" spans="1:18" x14ac:dyDescent="0.25">
      <c r="A13" s="4"/>
      <c r="B13" s="13">
        <v>8</v>
      </c>
      <c r="C13" s="14" t="e">
        <f>C8</f>
        <v>#DIV/0!</v>
      </c>
      <c r="D13" s="14" t="e">
        <f t="shared" si="0"/>
        <v>#DIV/0!</v>
      </c>
      <c r="E13" s="14">
        <f>E8</f>
        <v>0</v>
      </c>
      <c r="F13" s="14" t="e">
        <f t="shared" si="1"/>
        <v>#DIV/0!</v>
      </c>
      <c r="G13" s="15" t="e">
        <f t="shared" si="2"/>
        <v>#DIV/0!</v>
      </c>
      <c r="H13" s="14" t="e">
        <f>H8</f>
        <v>#DIV/0!</v>
      </c>
      <c r="I13" s="111" t="e">
        <f>I8</f>
        <v>#DIV/0!</v>
      </c>
      <c r="J13" s="8"/>
    </row>
    <row r="14" spans="1:18" x14ac:dyDescent="0.25">
      <c r="A14" s="4"/>
      <c r="B14" s="13">
        <v>9</v>
      </c>
      <c r="C14" s="14" t="e">
        <f>C7</f>
        <v>#DIV/0!</v>
      </c>
      <c r="D14" s="14" t="e">
        <f t="shared" si="0"/>
        <v>#DIV/0!</v>
      </c>
      <c r="E14" s="14" t="e">
        <f>E7</f>
        <v>#DIV/0!</v>
      </c>
      <c r="F14" s="14" t="e">
        <f t="shared" si="1"/>
        <v>#DIV/0!</v>
      </c>
      <c r="G14" s="15" t="e">
        <f t="shared" si="2"/>
        <v>#DIV/0!</v>
      </c>
      <c r="H14" s="14">
        <f>H7</f>
        <v>0</v>
      </c>
      <c r="I14" s="112" t="e">
        <f>I7</f>
        <v>#DIV/0!</v>
      </c>
      <c r="J14" s="8"/>
    </row>
    <row r="15" spans="1:18" x14ac:dyDescent="0.25">
      <c r="B15" s="13" t="s">
        <v>82</v>
      </c>
      <c r="C15" s="14" t="e">
        <f>15*D3-données!I19</f>
        <v>#DIV/0!</v>
      </c>
      <c r="D15" s="14" t="e">
        <f t="shared" si="0"/>
        <v>#DIV/0!</v>
      </c>
      <c r="E15" s="14">
        <v>0</v>
      </c>
      <c r="F15" s="14" t="e">
        <f t="shared" si="1"/>
        <v>#DIV/0!</v>
      </c>
      <c r="G15" s="15" t="e">
        <f t="shared" si="2"/>
        <v>#DIV/0!</v>
      </c>
      <c r="H15" s="15">
        <f>données!M34</f>
        <v>0</v>
      </c>
      <c r="I15" s="7" t="e">
        <f>D15*H15^2/12+D15*G15^2</f>
        <v>#DIV/0!</v>
      </c>
      <c r="J15" s="8"/>
    </row>
    <row r="16" spans="1:18" x14ac:dyDescent="0.25">
      <c r="B16" s="25" t="s">
        <v>6</v>
      </c>
      <c r="C16" s="16"/>
      <c r="D16" s="26" t="e">
        <f>SUM(D6:D15)</f>
        <v>#DIV/0!</v>
      </c>
      <c r="E16" s="17"/>
      <c r="F16" s="14" t="e">
        <f>SUM(F6:F15)</f>
        <v>#DIV/0!</v>
      </c>
      <c r="G16" s="17" t="e">
        <f>F16/D16</f>
        <v>#DIV/0!</v>
      </c>
      <c r="H16" s="17"/>
      <c r="I16" s="7" t="e">
        <f>SUM(I6:I15)</f>
        <v>#DIV/0!</v>
      </c>
      <c r="J16" s="8"/>
    </row>
    <row r="17" spans="1:18" x14ac:dyDescent="0.25">
      <c r="B17" s="18"/>
      <c r="C17" s="18"/>
      <c r="D17" s="18"/>
      <c r="E17" s="18"/>
      <c r="F17" s="18"/>
      <c r="G17" s="18"/>
      <c r="H17" s="19"/>
      <c r="I17" s="19"/>
      <c r="J17" s="19"/>
      <c r="K17" s="8"/>
      <c r="L17" s="8"/>
    </row>
    <row r="18" spans="1:18" ht="16.5" x14ac:dyDescent="0.3">
      <c r="B18" s="13" t="s">
        <v>5</v>
      </c>
      <c r="C18" s="13" t="s">
        <v>44</v>
      </c>
      <c r="D18" s="13" t="s">
        <v>47</v>
      </c>
      <c r="E18" s="13"/>
      <c r="F18" s="13"/>
      <c r="G18" s="13"/>
      <c r="H18" s="13"/>
      <c r="I18" s="13"/>
      <c r="J18" s="8"/>
      <c r="K18" s="13" t="s">
        <v>35</v>
      </c>
      <c r="L18" s="13" t="s">
        <v>36</v>
      </c>
      <c r="M18" s="13" t="s">
        <v>37</v>
      </c>
      <c r="N18" s="13" t="s">
        <v>38</v>
      </c>
      <c r="O18" s="13" t="s">
        <v>39</v>
      </c>
      <c r="P18" s="13" t="s">
        <v>40</v>
      </c>
      <c r="Q18" s="13" t="s">
        <v>41</v>
      </c>
      <c r="R18" s="13"/>
    </row>
    <row r="19" spans="1:18" ht="18.75" x14ac:dyDescent="0.3">
      <c r="A19" s="4"/>
      <c r="B19" s="13" t="s">
        <v>81</v>
      </c>
      <c r="C19" s="14" t="e">
        <f>'largeur_eff_semelle bis'!O5-données!I19</f>
        <v>#DIV/0!</v>
      </c>
      <c r="D19" s="14" t="e">
        <f>C19*$D$3</f>
        <v>#DIV/0!</v>
      </c>
      <c r="E19" s="14"/>
      <c r="F19" s="14"/>
      <c r="G19" s="15"/>
      <c r="H19" s="15"/>
      <c r="I19" s="7"/>
      <c r="J19" s="12" t="e">
        <f>15*D$3*H$6^3/12+15*D$3*D$3*G$6^2</f>
        <v>#DIV/0!</v>
      </c>
      <c r="K19" s="2" t="s">
        <v>42</v>
      </c>
      <c r="L19" s="2"/>
      <c r="M19" s="2" t="s">
        <v>43</v>
      </c>
      <c r="N19" s="2"/>
      <c r="O19" s="2" t="s">
        <v>101</v>
      </c>
      <c r="P19" s="2"/>
      <c r="Q19" s="2" t="s">
        <v>102</v>
      </c>
      <c r="R19" s="2"/>
    </row>
    <row r="20" spans="1:18" x14ac:dyDescent="0.25">
      <c r="A20" s="4"/>
      <c r="B20" s="13">
        <v>2</v>
      </c>
      <c r="C20" s="14" t="e">
        <f>C7</f>
        <v>#DIV/0!</v>
      </c>
      <c r="D20" s="14" t="e">
        <f t="shared" ref="D20:D28" si="3">C20*$D$3</f>
        <v>#DIV/0!</v>
      </c>
      <c r="E20" s="14"/>
      <c r="F20" s="14"/>
      <c r="G20" s="15"/>
      <c r="H20" s="15"/>
      <c r="I20" s="6"/>
      <c r="J20" s="8"/>
      <c r="K20" s="8"/>
      <c r="L20" s="8"/>
    </row>
    <row r="21" spans="1:18" x14ac:dyDescent="0.25">
      <c r="A21" s="4"/>
      <c r="B21" s="13">
        <v>3</v>
      </c>
      <c r="C21" s="14" t="e">
        <f t="shared" ref="C21:C27" si="4">C8</f>
        <v>#DIV/0!</v>
      </c>
      <c r="D21" s="14" t="e">
        <f t="shared" si="3"/>
        <v>#DIV/0!</v>
      </c>
      <c r="E21" s="45"/>
      <c r="F21" s="14"/>
      <c r="G21" s="15"/>
      <c r="H21" s="15"/>
      <c r="I21" s="7"/>
      <c r="J21" s="8"/>
      <c r="K21" s="8"/>
      <c r="L21" s="8"/>
    </row>
    <row r="22" spans="1:18" x14ac:dyDescent="0.25">
      <c r="A22" s="4"/>
      <c r="B22" s="13">
        <v>4</v>
      </c>
      <c r="C22" s="14" t="e">
        <f t="shared" si="4"/>
        <v>#DIV/0!</v>
      </c>
      <c r="D22" s="14" t="e">
        <f t="shared" si="3"/>
        <v>#DIV/0!</v>
      </c>
      <c r="E22" s="16"/>
      <c r="F22" s="14"/>
      <c r="G22" s="15"/>
      <c r="H22" s="15"/>
      <c r="I22" s="6"/>
      <c r="J22" s="8"/>
      <c r="K22" s="8"/>
      <c r="L22" s="8"/>
    </row>
    <row r="23" spans="1:18" x14ac:dyDescent="0.25">
      <c r="A23" s="4"/>
      <c r="B23" s="13">
        <v>5</v>
      </c>
      <c r="C23" s="14" t="e">
        <f t="shared" si="4"/>
        <v>#DIV/0!</v>
      </c>
      <c r="D23" s="14" t="e">
        <f t="shared" si="3"/>
        <v>#DIV/0!</v>
      </c>
      <c r="E23" s="45"/>
      <c r="F23" s="14"/>
      <c r="G23" s="15"/>
      <c r="H23" s="15"/>
      <c r="I23" s="7"/>
      <c r="J23" s="8"/>
      <c r="K23" s="8" t="s">
        <v>16</v>
      </c>
      <c r="L23" s="8" t="e">
        <f>F29/#REF!</f>
        <v>#REF!</v>
      </c>
    </row>
    <row r="24" spans="1:18" x14ac:dyDescent="0.25">
      <c r="A24" s="4"/>
      <c r="B24" s="13">
        <v>6</v>
      </c>
      <c r="C24" s="14" t="e">
        <f t="shared" si="4"/>
        <v>#DIV/0!</v>
      </c>
      <c r="D24" s="14" t="e">
        <f t="shared" si="3"/>
        <v>#DIV/0!</v>
      </c>
      <c r="E24" s="16"/>
      <c r="F24" s="14"/>
      <c r="G24" s="15"/>
      <c r="H24" s="15"/>
      <c r="I24" s="63"/>
      <c r="J24" s="8"/>
    </row>
    <row r="25" spans="1:18" x14ac:dyDescent="0.25">
      <c r="A25" s="4"/>
      <c r="B25" s="13">
        <v>7</v>
      </c>
      <c r="C25" s="14" t="e">
        <f t="shared" si="4"/>
        <v>#DIV/0!</v>
      </c>
      <c r="D25" s="14" t="e">
        <f t="shared" si="3"/>
        <v>#DIV/0!</v>
      </c>
      <c r="E25" s="14"/>
      <c r="F25" s="14"/>
      <c r="G25" s="15"/>
      <c r="H25" s="14"/>
      <c r="I25" s="110"/>
      <c r="J25" s="8"/>
    </row>
    <row r="26" spans="1:18" x14ac:dyDescent="0.25">
      <c r="A26" s="4"/>
      <c r="B26" s="13">
        <v>8</v>
      </c>
      <c r="C26" s="14" t="e">
        <f t="shared" si="4"/>
        <v>#DIV/0!</v>
      </c>
      <c r="D26" s="14" t="e">
        <f t="shared" si="3"/>
        <v>#DIV/0!</v>
      </c>
      <c r="E26" s="14"/>
      <c r="F26" s="14"/>
      <c r="G26" s="15"/>
      <c r="H26" s="14"/>
      <c r="I26" s="111"/>
      <c r="J26" s="8"/>
    </row>
    <row r="27" spans="1:18" x14ac:dyDescent="0.25">
      <c r="A27" s="4"/>
      <c r="B27" s="13">
        <v>9</v>
      </c>
      <c r="C27" s="14" t="e">
        <f t="shared" si="4"/>
        <v>#DIV/0!</v>
      </c>
      <c r="D27" s="14" t="e">
        <f t="shared" si="3"/>
        <v>#DIV/0!</v>
      </c>
      <c r="E27" s="14"/>
      <c r="F27" s="14"/>
      <c r="G27" s="15"/>
      <c r="H27" s="14"/>
      <c r="I27" s="112"/>
      <c r="J27" s="8"/>
    </row>
    <row r="28" spans="1:18" x14ac:dyDescent="0.25">
      <c r="B28" s="13" t="s">
        <v>82</v>
      </c>
      <c r="C28" s="14" t="e">
        <f>'largeur_eff_semelle bis'!O5-données!I19</f>
        <v>#DIV/0!</v>
      </c>
      <c r="D28" s="14" t="e">
        <f t="shared" si="3"/>
        <v>#DIV/0!</v>
      </c>
      <c r="E28" s="14"/>
      <c r="F28" s="14"/>
      <c r="G28" s="15"/>
      <c r="H28" s="15"/>
      <c r="I28" s="7"/>
      <c r="J28" s="8"/>
    </row>
    <row r="29" spans="1:18" x14ac:dyDescent="0.25">
      <c r="B29" s="25" t="s">
        <v>6</v>
      </c>
      <c r="C29" s="16"/>
      <c r="D29" s="26" t="e">
        <f>SUM(D19:D28)</f>
        <v>#DIV/0!</v>
      </c>
      <c r="E29" s="17"/>
      <c r="F29" s="14"/>
      <c r="G29" s="17"/>
      <c r="H29" s="17"/>
      <c r="I29" s="7"/>
      <c r="J29" s="8"/>
    </row>
    <row r="30" spans="1:18" x14ac:dyDescent="0.25">
      <c r="B30" s="18"/>
      <c r="C30" s="18"/>
      <c r="D30" s="18"/>
      <c r="E30" s="18"/>
      <c r="F30" s="18"/>
      <c r="G30" s="18"/>
      <c r="H30" s="19"/>
      <c r="I30" s="19"/>
      <c r="J30" s="19"/>
      <c r="K30" s="8"/>
      <c r="L30" s="8"/>
    </row>
    <row r="31" spans="1:18" x14ac:dyDescent="0.25">
      <c r="B31" s="18"/>
      <c r="C31" s="18"/>
      <c r="D31" s="18"/>
      <c r="E31" s="18"/>
      <c r="F31" s="18"/>
      <c r="G31" s="18"/>
      <c r="H31" s="19"/>
      <c r="I31" s="19"/>
      <c r="J31" s="19"/>
      <c r="K31" s="8"/>
      <c r="L31" s="8"/>
    </row>
    <row r="32" spans="1:18" ht="16.5" x14ac:dyDescent="0.3">
      <c r="B32" s="2" t="s">
        <v>111</v>
      </c>
      <c r="C32" s="2"/>
      <c r="D32" s="2" t="s">
        <v>25</v>
      </c>
      <c r="E32" s="2" t="s">
        <v>26</v>
      </c>
      <c r="F32" s="2" t="s">
        <v>27</v>
      </c>
      <c r="G32" s="2" t="s">
        <v>28</v>
      </c>
      <c r="H32" s="2" t="s">
        <v>107</v>
      </c>
      <c r="I32" s="2" t="s">
        <v>29</v>
      </c>
      <c r="J32" s="8"/>
      <c r="K32" s="8"/>
      <c r="L32" s="8"/>
    </row>
    <row r="33" spans="2:12" x14ac:dyDescent="0.25">
      <c r="B33" s="7" t="e">
        <f>2*C3+B3</f>
        <v>#DIV/0!</v>
      </c>
      <c r="C33" s="7"/>
      <c r="D33" s="7">
        <f>données!D15</f>
        <v>0</v>
      </c>
      <c r="E33" s="7" t="e">
        <f>données!M3</f>
        <v>#DIV/0!</v>
      </c>
      <c r="F33" s="7" t="e">
        <f>3.07*(I16*C3^2*(2*C3+3*B3)/D3^3)^0.25</f>
        <v>#DIV/0!</v>
      </c>
      <c r="G33" s="7" t="e">
        <f>F33/E33</f>
        <v>#DIV/0!</v>
      </c>
      <c r="H33" s="7" t="e">
        <f>((E33+2*B33)/(E33+0.5*B33))^0.5</f>
        <v>#DIV/0!</v>
      </c>
      <c r="I33" s="67" t="e">
        <f>IF(G33&gt;2,H33,(H33-(H33-1)*(2*F33/E33-(F33/E33)^2)))</f>
        <v>#DIV/0!</v>
      </c>
      <c r="J33" s="8"/>
      <c r="K33" s="8"/>
      <c r="L33" s="8"/>
    </row>
    <row r="34" spans="2:12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2:12" ht="16.5" x14ac:dyDescent="0.3">
      <c r="B35" s="2" t="s">
        <v>50</v>
      </c>
      <c r="C35" s="8"/>
      <c r="D35" s="8"/>
      <c r="E35" s="8"/>
      <c r="F35" s="8"/>
      <c r="G35" s="8"/>
      <c r="H35" s="8"/>
      <c r="I35" s="8"/>
      <c r="J35" s="8"/>
      <c r="K35" s="8"/>
    </row>
    <row r="36" spans="2:12" x14ac:dyDescent="0.25">
      <c r="B36" s="7" t="e">
        <f>4.2*I33*E3/D29*(I16*D3^3/4/C3^2/(2*C3+3*B3))^0.5</f>
        <v>#DIV/0!</v>
      </c>
      <c r="C36" s="8"/>
      <c r="D36" s="8"/>
      <c r="E36" s="8"/>
      <c r="F36" s="8"/>
      <c r="G36" s="8"/>
      <c r="H36" s="8"/>
      <c r="I36" s="8"/>
      <c r="J36" s="8"/>
      <c r="K36" s="8"/>
    </row>
    <row r="38" spans="2:12" ht="16.5" x14ac:dyDescent="0.3">
      <c r="B38" s="2" t="s">
        <v>20</v>
      </c>
      <c r="C38" s="2" t="s">
        <v>10</v>
      </c>
      <c r="D38" s="2" t="s">
        <v>108</v>
      </c>
      <c r="E38" s="2" t="s">
        <v>109</v>
      </c>
    </row>
    <row r="39" spans="2:12" x14ac:dyDescent="0.25">
      <c r="B39" s="6">
        <f>données!G3</f>
        <v>0</v>
      </c>
      <c r="C39" s="11" t="e">
        <f>(B39/B36)^0.5</f>
        <v>#DIV/0!</v>
      </c>
      <c r="D39" t="e">
        <f>IF(C39&lt;0.65,1,(1.47-0.723*C39))</f>
        <v>#DIV/0!</v>
      </c>
      <c r="E39" t="e">
        <f>IF(C39&gt;1.38,0.66/C39,D39)</f>
        <v>#DIV/0!</v>
      </c>
    </row>
    <row r="41" spans="2:12" ht="16.5" x14ac:dyDescent="0.3">
      <c r="B41" s="7" t="s">
        <v>11</v>
      </c>
      <c r="C41" s="13" t="s">
        <v>56</v>
      </c>
      <c r="E41" s="2" t="s">
        <v>142</v>
      </c>
    </row>
    <row r="42" spans="2:12" x14ac:dyDescent="0.25">
      <c r="B42" s="68" t="e">
        <f>E39</f>
        <v>#DIV/0!</v>
      </c>
      <c r="C42" s="14" t="e">
        <f>B42*données!E3</f>
        <v>#DIV/0!</v>
      </c>
      <c r="E42" s="74" t="e">
        <f>B39/largeur_eff_semelle!K5/largeur_eff_semelle!J5</f>
        <v>#DIV/0!</v>
      </c>
      <c r="G42" s="74" t="e">
        <f>B42*E42</f>
        <v>#DIV/0!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2"/>
  <sheetViews>
    <sheetView windowProtection="1" topLeftCell="A14" workbookViewId="0">
      <selection activeCell="J15" sqref="J15"/>
    </sheetView>
  </sheetViews>
  <sheetFormatPr baseColWidth="10" defaultRowHeight="15" x14ac:dyDescent="0.25"/>
  <cols>
    <col min="2" max="2" width="11.42578125" bestFit="1" customWidth="1"/>
  </cols>
  <sheetData>
    <row r="2" spans="1:17" ht="16.5" x14ac:dyDescent="0.3">
      <c r="B2" s="2" t="s">
        <v>0</v>
      </c>
      <c r="C2" s="2" t="s">
        <v>2</v>
      </c>
      <c r="D2" s="2" t="s">
        <v>20</v>
      </c>
      <c r="E2" s="8"/>
      <c r="F2" s="8"/>
      <c r="G2" s="8"/>
      <c r="H2" s="8"/>
      <c r="I2" s="8"/>
      <c r="J2" s="8"/>
      <c r="K2" s="8"/>
    </row>
    <row r="3" spans="1:17" x14ac:dyDescent="0.25">
      <c r="B3" s="2">
        <f>données!E3</f>
        <v>0</v>
      </c>
      <c r="C3" s="7">
        <f>données!H3</f>
        <v>0</v>
      </c>
      <c r="D3" s="6">
        <f>données!G3</f>
        <v>0</v>
      </c>
      <c r="E3" s="8"/>
      <c r="F3" s="8"/>
      <c r="G3" s="8"/>
      <c r="H3" s="8"/>
      <c r="I3" s="8"/>
      <c r="J3" s="8"/>
      <c r="K3" s="8"/>
    </row>
    <row r="4" spans="1:17" x14ac:dyDescent="0.25">
      <c r="B4" s="8"/>
      <c r="C4" s="8"/>
      <c r="D4" s="8"/>
      <c r="E4" s="8"/>
      <c r="F4" s="8"/>
      <c r="G4" s="8"/>
      <c r="H4" s="8"/>
      <c r="I4" s="8"/>
      <c r="J4" s="8"/>
      <c r="K4" s="8"/>
    </row>
    <row r="5" spans="1:17" ht="16.5" x14ac:dyDescent="0.3">
      <c r="B5" s="72" t="s">
        <v>92</v>
      </c>
      <c r="C5" s="72" t="s">
        <v>91</v>
      </c>
      <c r="D5" s="72" t="s">
        <v>85</v>
      </c>
      <c r="E5" s="72" t="s">
        <v>88</v>
      </c>
      <c r="F5" s="72" t="s">
        <v>91</v>
      </c>
      <c r="G5" s="8" t="s">
        <v>110</v>
      </c>
      <c r="H5" s="8"/>
      <c r="I5" s="8"/>
      <c r="J5" s="8"/>
      <c r="K5" s="8"/>
    </row>
    <row r="6" spans="1:17" x14ac:dyDescent="0.25">
      <c r="B6" s="73" t="e">
        <f>0.76*B3*(C3/D3)^0.5</f>
        <v>#DIV/0!</v>
      </c>
      <c r="C6" s="73" t="e">
        <f>B6</f>
        <v>#DIV/0!</v>
      </c>
      <c r="D6" s="73" t="e">
        <f>largeur_eff_ame!C24</f>
        <v>#REF!</v>
      </c>
      <c r="E6" s="72" t="e">
        <f>largeur_eff_ame!G27</f>
        <v>#REF!</v>
      </c>
      <c r="F6" s="72"/>
      <c r="G6" s="8"/>
      <c r="H6" s="8"/>
      <c r="I6" s="8"/>
      <c r="J6" s="8"/>
      <c r="K6" s="8"/>
    </row>
    <row r="7" spans="1:17" x14ac:dyDescent="0.25">
      <c r="B7" s="8"/>
      <c r="C7" s="8"/>
      <c r="D7" s="8"/>
      <c r="E7" s="8"/>
      <c r="F7" s="8"/>
      <c r="G7" s="8"/>
      <c r="H7" s="8"/>
      <c r="I7" s="8"/>
      <c r="J7" s="8"/>
      <c r="K7" s="8"/>
    </row>
    <row r="8" spans="1:17" x14ac:dyDescent="0.25">
      <c r="B8" s="20" t="s">
        <v>9</v>
      </c>
      <c r="C8" s="8"/>
      <c r="D8" s="8"/>
      <c r="E8" s="8"/>
      <c r="F8" s="8"/>
      <c r="G8" s="8"/>
      <c r="H8" s="8"/>
      <c r="I8" s="8"/>
      <c r="J8" s="8"/>
      <c r="K8" s="8"/>
    </row>
    <row r="9" spans="1:17" x14ac:dyDescent="0.25">
      <c r="B9" s="8"/>
      <c r="C9" s="8"/>
      <c r="D9" s="8"/>
      <c r="E9" s="8"/>
      <c r="F9" s="8"/>
      <c r="G9" s="8"/>
      <c r="H9" s="8"/>
      <c r="I9" s="8"/>
      <c r="J9" s="8"/>
      <c r="K9" s="8"/>
    </row>
    <row r="10" spans="1:17" ht="18.75" x14ac:dyDescent="0.3">
      <c r="B10" s="13" t="s">
        <v>5</v>
      </c>
      <c r="C10" s="13" t="s">
        <v>44</v>
      </c>
      <c r="D10" s="13" t="s">
        <v>51</v>
      </c>
      <c r="E10" s="13" t="s">
        <v>47</v>
      </c>
      <c r="F10" s="13" t="s">
        <v>45</v>
      </c>
      <c r="G10" s="13" t="s">
        <v>48</v>
      </c>
      <c r="H10" s="13" t="s">
        <v>46</v>
      </c>
      <c r="I10" s="21" t="s">
        <v>8</v>
      </c>
      <c r="J10" s="13" t="s">
        <v>49</v>
      </c>
      <c r="K10" s="22" t="s">
        <v>12</v>
      </c>
      <c r="M10" s="13" t="s">
        <v>5</v>
      </c>
      <c r="N10" s="21" t="s">
        <v>8</v>
      </c>
      <c r="O10" s="13" t="s">
        <v>49</v>
      </c>
    </row>
    <row r="11" spans="1:17" x14ac:dyDescent="0.25">
      <c r="B11" s="13">
        <v>0</v>
      </c>
      <c r="C11" s="13">
        <f>données!Q4</f>
        <v>0</v>
      </c>
      <c r="D11" s="123" t="e">
        <f>'raidisseur (bis)'!B$42*$B$3*données!P4</f>
        <v>#DIV/0!</v>
      </c>
      <c r="E11" s="117" t="e">
        <f>C11*D11*'raidisseur (bis)'!E$42</f>
        <v>#DIV/0!</v>
      </c>
      <c r="F11" s="14">
        <f>données!J30+données!R5</f>
        <v>0</v>
      </c>
      <c r="G11" s="14" t="e">
        <f>E11*F11</f>
        <v>#DIV/0!</v>
      </c>
      <c r="H11" s="7" t="e">
        <f>$H$32-F11</f>
        <v>#DIV/0!</v>
      </c>
      <c r="I11" s="28">
        <f>données!M30</f>
        <v>0</v>
      </c>
      <c r="J11" s="7" t="e">
        <f t="shared" ref="J11" si="0">E11*I11^2/12+E11*H11^2</f>
        <v>#DIV/0!</v>
      </c>
      <c r="K11" s="27"/>
      <c r="M11" s="13"/>
      <c r="N11" s="21"/>
      <c r="O11" s="13"/>
    </row>
    <row r="12" spans="1:17" x14ac:dyDescent="0.25">
      <c r="A12" s="87" t="e">
        <f>C12*B$3</f>
        <v>#DIV/0!</v>
      </c>
      <c r="B12" s="13">
        <v>1</v>
      </c>
      <c r="C12" s="14" t="e">
        <f>données!C30-C11</f>
        <v>#DIV/0!</v>
      </c>
      <c r="D12" s="68" t="e">
        <f>'raidisseur (bis)'!B$42*$B$3</f>
        <v>#DIV/0!</v>
      </c>
      <c r="E12" s="117" t="e">
        <f>C12*D12*'raidisseur (bis)'!E$42</f>
        <v>#DIV/0!</v>
      </c>
      <c r="F12" s="14">
        <f>données!J30</f>
        <v>0</v>
      </c>
      <c r="G12" s="14" t="e">
        <f>E12*F12</f>
        <v>#DIV/0!</v>
      </c>
      <c r="H12" s="7" t="e">
        <f>$H$32-F12</f>
        <v>#DIV/0!</v>
      </c>
      <c r="I12" s="28">
        <f>données!M30</f>
        <v>0</v>
      </c>
      <c r="J12" s="7" t="e">
        <f t="shared" ref="J12" si="1">E12*I12^2/12+E12*H12^2</f>
        <v>#DIV/0!</v>
      </c>
      <c r="K12" s="27"/>
      <c r="M12" s="13">
        <v>1</v>
      </c>
      <c r="N12" s="3">
        <f>I12</f>
        <v>0</v>
      </c>
      <c r="O12" s="3" t="e">
        <f>J12</f>
        <v>#DIV/0!</v>
      </c>
      <c r="Q12" s="87">
        <v>5978.750489348753</v>
      </c>
    </row>
    <row r="13" spans="1:17" x14ac:dyDescent="0.25">
      <c r="A13" s="87" t="e">
        <f t="shared" ref="A13:A16" si="2">C13*B$3</f>
        <v>#DIV/0!</v>
      </c>
      <c r="B13" s="13">
        <v>2</v>
      </c>
      <c r="C13" s="14" t="e">
        <f>données!C31</f>
        <v>#DIV/0!</v>
      </c>
      <c r="D13" s="68" t="e">
        <f>'raidisseur (bis)'!B$42*$B$3</f>
        <v>#DIV/0!</v>
      </c>
      <c r="E13" s="117" t="e">
        <f>C13*D13*'raidisseur (bis)'!E$42</f>
        <v>#DIV/0!</v>
      </c>
      <c r="F13" s="14" t="e">
        <f>données!J31</f>
        <v>#DIV/0!</v>
      </c>
      <c r="G13" s="14" t="e">
        <f t="shared" ref="G13:G31" si="3">E13*F13</f>
        <v>#DIV/0!</v>
      </c>
      <c r="H13" s="7" t="e">
        <f t="shared" ref="H13:H31" si="4">$H$32-F13</f>
        <v>#DIV/0!</v>
      </c>
      <c r="I13" s="28">
        <f>données!M31</f>
        <v>0</v>
      </c>
      <c r="J13" s="6" t="e">
        <f>D13*(données!$P$3^3*((données!$I$17+SIN(données!$I$17)*COS(données!$I$17))/2-SIN(données!$I$17)^2/données!$I$17))+E13*H13^2</f>
        <v>#DIV/0!</v>
      </c>
      <c r="K13" s="8"/>
      <c r="M13" s="13">
        <v>2</v>
      </c>
      <c r="N13" s="3">
        <f t="shared" ref="N13:N27" si="5">I13</f>
        <v>0</v>
      </c>
      <c r="O13" s="3" t="e">
        <f>J13</f>
        <v>#DIV/0!</v>
      </c>
      <c r="Q13" s="87">
        <v>16731.736187589693</v>
      </c>
    </row>
    <row r="14" spans="1:17" x14ac:dyDescent="0.25">
      <c r="A14" s="87" t="e">
        <f t="shared" si="2"/>
        <v>#DIV/0!</v>
      </c>
      <c r="B14" s="13">
        <v>3</v>
      </c>
      <c r="C14" s="14" t="e">
        <f>données!C32</f>
        <v>#DIV/0!</v>
      </c>
      <c r="D14" s="68" t="e">
        <f>'raidisseur (bis)'!B$42*$B$3</f>
        <v>#DIV/0!</v>
      </c>
      <c r="E14" s="117" t="e">
        <f>C14*D14*'raidisseur (bis)'!E$42</f>
        <v>#DIV/0!</v>
      </c>
      <c r="F14" s="14">
        <f>données!J32</f>
        <v>0</v>
      </c>
      <c r="G14" s="14" t="e">
        <f t="shared" si="3"/>
        <v>#DIV/0!</v>
      </c>
      <c r="H14" s="7" t="e">
        <f t="shared" si="4"/>
        <v>#DIV/0!</v>
      </c>
      <c r="I14" s="28" t="e">
        <f>données!M32</f>
        <v>#DIV/0!</v>
      </c>
      <c r="J14" s="7" t="e">
        <f t="shared" ref="J14" si="6">E14*I14^2/12+E14*H14^2</f>
        <v>#DIV/0!</v>
      </c>
      <c r="K14" s="8"/>
      <c r="M14" s="13">
        <v>3</v>
      </c>
      <c r="N14" s="3" t="e">
        <f t="shared" si="5"/>
        <v>#DIV/0!</v>
      </c>
      <c r="O14" s="3" t="e">
        <f t="shared" ref="O14:O33" si="7">J14</f>
        <v>#DIV/0!</v>
      </c>
      <c r="Q14" s="87">
        <v>16549.57113081171</v>
      </c>
    </row>
    <row r="15" spans="1:17" x14ac:dyDescent="0.25">
      <c r="A15" s="87" t="e">
        <f t="shared" si="2"/>
        <v>#DIV/0!</v>
      </c>
      <c r="B15" s="13">
        <v>4</v>
      </c>
      <c r="C15" s="14" t="e">
        <f>données!C33</f>
        <v>#DIV/0!</v>
      </c>
      <c r="D15" s="68" t="e">
        <f>'raidisseur (bis)'!B$42*$B$3</f>
        <v>#DIV/0!</v>
      </c>
      <c r="E15" s="117" t="e">
        <f>C15*D15*'raidisseur (bis)'!E$42</f>
        <v>#DIV/0!</v>
      </c>
      <c r="F15" s="14" t="e">
        <f>données!J33</f>
        <v>#DIV/0!</v>
      </c>
      <c r="G15" s="14" t="e">
        <f t="shared" si="3"/>
        <v>#DIV/0!</v>
      </c>
      <c r="H15" s="7" t="e">
        <f t="shared" si="4"/>
        <v>#DIV/0!</v>
      </c>
      <c r="I15" s="28">
        <f>données!M33</f>
        <v>0</v>
      </c>
      <c r="J15" s="6" t="e">
        <f>D15*(données!$P$3^3*((données!$I$17+SIN(données!$I$17)*COS(données!$I$17))/2-SIN(données!$I$17)^2/données!$I$17))+E15*H15^2</f>
        <v>#DIV/0!</v>
      </c>
      <c r="K15" s="8"/>
      <c r="M15" s="13"/>
      <c r="N15" s="3"/>
      <c r="O15" s="3"/>
      <c r="Q15" s="87">
        <v>10149.948495318249</v>
      </c>
    </row>
    <row r="16" spans="1:17" x14ac:dyDescent="0.25">
      <c r="A16" s="87" t="e">
        <f t="shared" si="2"/>
        <v>#DIV/0!</v>
      </c>
      <c r="B16" s="13">
        <v>51</v>
      </c>
      <c r="C16" s="14" t="e">
        <f>'largeur_eff_semelle bis'!O5-données!I19</f>
        <v>#DIV/0!</v>
      </c>
      <c r="D16" s="68" t="e">
        <f>'raidisseur (bis)'!B$42*$B$3</f>
        <v>#DIV/0!</v>
      </c>
      <c r="E16" s="117" t="e">
        <f>C16*D16*'raidisseur (bis)'!E$42</f>
        <v>#DIV/0!</v>
      </c>
      <c r="F16" s="14">
        <f>données!J34</f>
        <v>0</v>
      </c>
      <c r="G16" s="14" t="e">
        <f t="shared" si="3"/>
        <v>#DIV/0!</v>
      </c>
      <c r="H16" s="7" t="e">
        <f t="shared" si="4"/>
        <v>#DIV/0!</v>
      </c>
      <c r="I16" s="28">
        <f>données!M34</f>
        <v>0</v>
      </c>
      <c r="J16" s="7" t="e">
        <f t="shared" ref="J16" si="8">E16*I16^2/12+E16*H16^2</f>
        <v>#DIV/0!</v>
      </c>
      <c r="K16" s="8"/>
      <c r="M16" s="13">
        <v>4</v>
      </c>
      <c r="N16" s="3">
        <f t="shared" si="5"/>
        <v>0</v>
      </c>
      <c r="O16" s="3" t="e">
        <f t="shared" si="7"/>
        <v>#DIV/0!</v>
      </c>
      <c r="Q16" s="87">
        <v>44316.90262521273</v>
      </c>
    </row>
    <row r="17" spans="1:17" x14ac:dyDescent="0.25">
      <c r="A17" s="87"/>
      <c r="B17" s="13">
        <v>52</v>
      </c>
      <c r="C17" s="117" t="e">
        <f>('largeur_eff_semelle bis'!O10-données!C21)</f>
        <v>#DIV/0!</v>
      </c>
      <c r="D17" s="23">
        <f>$B$3</f>
        <v>0</v>
      </c>
      <c r="E17" s="14" t="e">
        <f t="shared" ref="E17:E31" si="9">C17*D17</f>
        <v>#DIV/0!</v>
      </c>
      <c r="F17" s="14">
        <f>données!J34</f>
        <v>0</v>
      </c>
      <c r="G17" s="14" t="e">
        <f t="shared" si="3"/>
        <v>#DIV/0!</v>
      </c>
      <c r="H17" s="7" t="e">
        <f t="shared" si="4"/>
        <v>#DIV/0!</v>
      </c>
      <c r="I17" s="28">
        <f>données!M34</f>
        <v>0</v>
      </c>
      <c r="J17" s="7" t="e">
        <f t="shared" ref="J17" si="10">E17*I17^2/12+E17*H17^2</f>
        <v>#DIV/0!</v>
      </c>
      <c r="K17" s="8"/>
      <c r="M17" s="13">
        <v>5</v>
      </c>
      <c r="N17" s="3">
        <f t="shared" si="5"/>
        <v>0</v>
      </c>
      <c r="O17" s="3" t="e">
        <f t="shared" si="7"/>
        <v>#DIV/0!</v>
      </c>
      <c r="Q17" s="87">
        <v>33894.82308569317</v>
      </c>
    </row>
    <row r="18" spans="1:17" x14ac:dyDescent="0.25">
      <c r="A18" s="87"/>
      <c r="B18" s="13">
        <v>6</v>
      </c>
      <c r="C18" s="14" t="e">
        <f>données!C35</f>
        <v>#DIV/0!</v>
      </c>
      <c r="D18" s="23">
        <f t="shared" ref="D18" si="11">$B$3</f>
        <v>0</v>
      </c>
      <c r="E18" s="14" t="e">
        <f t="shared" si="9"/>
        <v>#DIV/0!</v>
      </c>
      <c r="F18" s="14" t="e">
        <f>données!J35</f>
        <v>#DIV/0!</v>
      </c>
      <c r="G18" s="14" t="e">
        <f t="shared" si="3"/>
        <v>#DIV/0!</v>
      </c>
      <c r="H18" s="7" t="e">
        <f t="shared" si="4"/>
        <v>#DIV/0!</v>
      </c>
      <c r="I18" s="28">
        <f>données!M35</f>
        <v>0</v>
      </c>
      <c r="J18" s="6" t="e">
        <f>D18*données!J$3^3*((données!B$3+SIN(données!B$3)*COS(données!B$3))/2-SIN(données!B$3)^2/données!B$3)+E18*H18^2</f>
        <v>#DIV/0!</v>
      </c>
      <c r="K18" s="8"/>
      <c r="M18" s="13">
        <v>6</v>
      </c>
      <c r="N18" s="3">
        <f t="shared" si="5"/>
        <v>0</v>
      </c>
      <c r="O18" s="3" t="e">
        <f t="shared" si="7"/>
        <v>#DIV/0!</v>
      </c>
      <c r="Q18" s="87">
        <v>22335.374897470152</v>
      </c>
    </row>
    <row r="19" spans="1:17" x14ac:dyDescent="0.25">
      <c r="A19" s="87"/>
      <c r="B19" s="13">
        <v>7</v>
      </c>
      <c r="C19" s="14" t="e">
        <f>données!C36</f>
        <v>#DIV/0!</v>
      </c>
      <c r="D19" s="90">
        <f>$B$3</f>
        <v>0</v>
      </c>
      <c r="E19" s="14" t="e">
        <f t="shared" si="9"/>
        <v>#DIV/0!</v>
      </c>
      <c r="F19" s="14" t="e">
        <f>données!J36</f>
        <v>#DIV/0!</v>
      </c>
      <c r="G19" s="14" t="e">
        <f t="shared" si="3"/>
        <v>#DIV/0!</v>
      </c>
      <c r="H19" s="7" t="e">
        <f t="shared" si="4"/>
        <v>#DIV/0!</v>
      </c>
      <c r="I19" s="28" t="e">
        <f>données!M36</f>
        <v>#DIV/0!</v>
      </c>
      <c r="J19" s="7" t="e">
        <f>E19*I19^2/12+E19*H19^2</f>
        <v>#DIV/0!</v>
      </c>
      <c r="K19" s="8"/>
      <c r="M19" s="13">
        <v>7</v>
      </c>
      <c r="N19" s="3" t="e">
        <f t="shared" si="5"/>
        <v>#DIV/0!</v>
      </c>
      <c r="O19" s="3" t="e">
        <f t="shared" si="7"/>
        <v>#DIV/0!</v>
      </c>
      <c r="Q19" s="87">
        <v>4620.7018980158609</v>
      </c>
    </row>
    <row r="20" spans="1:17" x14ac:dyDescent="0.25">
      <c r="A20" s="87"/>
      <c r="B20" s="13" t="s">
        <v>150</v>
      </c>
      <c r="C20" s="14">
        <f>-données!$Q$3</f>
        <v>-14.125</v>
      </c>
      <c r="D20" s="90">
        <f t="shared" ref="D20" si="12">$B$3</f>
        <v>0</v>
      </c>
      <c r="E20" s="14">
        <f t="shared" si="9"/>
        <v>0</v>
      </c>
      <c r="F20" s="14" t="e">
        <f>données!$S$3</f>
        <v>#DIV/0!</v>
      </c>
      <c r="G20" s="14" t="e">
        <f t="shared" si="3"/>
        <v>#DIV/0!</v>
      </c>
      <c r="H20" s="7" t="e">
        <f>$H$32-F20</f>
        <v>#DIV/0!</v>
      </c>
      <c r="I20" s="124" t="e">
        <f>-C20*SIN(données!$B$3)</f>
        <v>#DIV/0!</v>
      </c>
      <c r="J20" s="7" t="e">
        <f t="shared" ref="J20:J21" si="13">E20*I20^2/12+E20*H20^2</f>
        <v>#DIV/0!</v>
      </c>
      <c r="K20" s="8"/>
      <c r="M20" s="13"/>
      <c r="N20" s="3"/>
      <c r="O20" s="3"/>
      <c r="Q20" s="87"/>
    </row>
    <row r="21" spans="1:17" x14ac:dyDescent="0.25">
      <c r="A21" s="87"/>
      <c r="B21" s="13" t="s">
        <v>150</v>
      </c>
      <c r="C21" s="14">
        <f>données!$Q$3</f>
        <v>14.125</v>
      </c>
      <c r="D21" s="90">
        <f>$B$3*données!P4</f>
        <v>0</v>
      </c>
      <c r="E21" s="14">
        <f t="shared" si="9"/>
        <v>0</v>
      </c>
      <c r="F21" s="14" t="e">
        <f>données!$S$3</f>
        <v>#DIV/0!</v>
      </c>
      <c r="G21" s="14" t="e">
        <f t="shared" si="3"/>
        <v>#DIV/0!</v>
      </c>
      <c r="H21" s="7" t="e">
        <f t="shared" ref="H21" si="14">$H$32-F21</f>
        <v>#DIV/0!</v>
      </c>
      <c r="I21" s="124" t="e">
        <f>C21*SIN(données!$B$3)</f>
        <v>#DIV/0!</v>
      </c>
      <c r="J21" s="7" t="e">
        <f t="shared" si="13"/>
        <v>#DIV/0!</v>
      </c>
      <c r="K21" s="8"/>
      <c r="M21" s="13"/>
      <c r="N21" s="3"/>
      <c r="O21" s="3"/>
      <c r="Q21" s="87"/>
    </row>
    <row r="22" spans="1:17" x14ac:dyDescent="0.25">
      <c r="A22" s="87"/>
      <c r="B22" s="13">
        <v>8</v>
      </c>
      <c r="C22" s="14" t="e">
        <f>données!C37</f>
        <v>#DIV/0!</v>
      </c>
      <c r="D22" s="23">
        <f>$B$3</f>
        <v>0</v>
      </c>
      <c r="E22" s="14" t="e">
        <f t="shared" si="9"/>
        <v>#DIV/0!</v>
      </c>
      <c r="F22" s="14" t="e">
        <f>données!J37</f>
        <v>#DIV/0!</v>
      </c>
      <c r="G22" s="14" t="e">
        <f t="shared" si="3"/>
        <v>#DIV/0!</v>
      </c>
      <c r="H22" s="7" t="e">
        <f t="shared" si="4"/>
        <v>#DIV/0!</v>
      </c>
      <c r="I22" s="28">
        <f>données!M37</f>
        <v>0</v>
      </c>
      <c r="J22" s="6" t="e">
        <f>D22*données!I$3^3*((données!B$3+SIN(données!B$3)*COS(données!B$3))/2-SIN(données!B$3)^2/données!B$3)+E22*H22^2</f>
        <v>#DIV/0!</v>
      </c>
      <c r="K22" s="8"/>
      <c r="M22" s="13"/>
      <c r="N22" s="3"/>
      <c r="O22" s="3"/>
      <c r="Q22" s="87">
        <v>14325.609230741165</v>
      </c>
    </row>
    <row r="23" spans="1:17" x14ac:dyDescent="0.25">
      <c r="A23" s="87"/>
      <c r="B23" s="13">
        <v>9</v>
      </c>
      <c r="C23" s="14" t="e">
        <f>données!C38</f>
        <v>#DIV/0!</v>
      </c>
      <c r="D23" s="23">
        <f>$B$3</f>
        <v>0</v>
      </c>
      <c r="E23" s="14" t="e">
        <f t="shared" si="9"/>
        <v>#DIV/0!</v>
      </c>
      <c r="F23" s="14">
        <f>données!J38</f>
        <v>0</v>
      </c>
      <c r="G23" s="14" t="e">
        <f t="shared" si="3"/>
        <v>#DIV/0!</v>
      </c>
      <c r="H23" s="7" t="e">
        <f t="shared" si="4"/>
        <v>#DIV/0!</v>
      </c>
      <c r="I23" s="28">
        <f>données!M38</f>
        <v>0</v>
      </c>
      <c r="J23" s="7" t="e">
        <f>E23*I23^2/12+E23*H23^2</f>
        <v>#DIV/0!</v>
      </c>
      <c r="K23" s="8"/>
      <c r="M23" s="13">
        <v>8</v>
      </c>
      <c r="N23" s="3">
        <f t="shared" si="5"/>
        <v>0</v>
      </c>
      <c r="O23" s="3" t="e">
        <f t="shared" si="7"/>
        <v>#DIV/0!</v>
      </c>
      <c r="Q23" s="87">
        <v>5975.1153913010348</v>
      </c>
    </row>
    <row r="24" spans="1:17" x14ac:dyDescent="0.25">
      <c r="A24" s="87"/>
      <c r="B24" s="13">
        <v>10</v>
      </c>
      <c r="C24" s="14" t="e">
        <f>données!C39</f>
        <v>#DIV/0!</v>
      </c>
      <c r="D24" s="23">
        <f>$B$3</f>
        <v>0</v>
      </c>
      <c r="E24" s="14" t="e">
        <f t="shared" si="9"/>
        <v>#DIV/0!</v>
      </c>
      <c r="F24" s="14" t="e">
        <f>données!J39</f>
        <v>#DIV/0!</v>
      </c>
      <c r="G24" s="14" t="e">
        <f t="shared" si="3"/>
        <v>#DIV/0!</v>
      </c>
      <c r="H24" s="7" t="e">
        <f t="shared" si="4"/>
        <v>#DIV/0!</v>
      </c>
      <c r="I24" s="28">
        <f>données!M39</f>
        <v>0</v>
      </c>
      <c r="J24" s="6" t="e">
        <f>D24*0^3*((données!C$3+SIN(données!C$3)*COS(données!C$3))/2-SIN(données!C$3)^2/données!C$3)+E24*H24^2</f>
        <v>#DIV/0!</v>
      </c>
      <c r="K24" s="8"/>
      <c r="M24" s="13">
        <v>9</v>
      </c>
      <c r="N24" s="3">
        <f t="shared" si="5"/>
        <v>0</v>
      </c>
      <c r="O24" s="3" t="e">
        <f t="shared" si="7"/>
        <v>#DIV/0!</v>
      </c>
      <c r="Q24" s="87">
        <v>8624.8621577395097</v>
      </c>
    </row>
    <row r="25" spans="1:17" x14ac:dyDescent="0.25">
      <c r="A25" s="5"/>
      <c r="B25" s="13">
        <v>11</v>
      </c>
      <c r="C25" s="14" t="e">
        <f>données!C40</f>
        <v>#DIV/0!</v>
      </c>
      <c r="D25" s="23">
        <f t="shared" ref="D25:D31" si="15">$B$3</f>
        <v>0</v>
      </c>
      <c r="E25" s="14" t="e">
        <f t="shared" si="9"/>
        <v>#DIV/0!</v>
      </c>
      <c r="F25" s="14">
        <f>données!J40</f>
        <v>0</v>
      </c>
      <c r="G25" s="14" t="e">
        <f t="shared" si="3"/>
        <v>#DIV/0!</v>
      </c>
      <c r="H25" s="7" t="e">
        <f t="shared" si="4"/>
        <v>#DIV/0!</v>
      </c>
      <c r="I25" s="28" t="e">
        <f>données!M40</f>
        <v>#DIV/0!</v>
      </c>
      <c r="J25" s="7" t="e">
        <f>E25*I25^2/12+E25*H25^2</f>
        <v>#DIV/0!</v>
      </c>
      <c r="K25" s="8"/>
      <c r="M25" s="13">
        <v>10</v>
      </c>
      <c r="N25" s="3" t="e">
        <f t="shared" si="5"/>
        <v>#DIV/0!</v>
      </c>
      <c r="O25" s="3" t="e">
        <f t="shared" si="7"/>
        <v>#DIV/0!</v>
      </c>
      <c r="Q25" s="5">
        <v>2489.4181828516225</v>
      </c>
    </row>
    <row r="26" spans="1:17" x14ac:dyDescent="0.25">
      <c r="A26" s="5"/>
      <c r="B26" s="13">
        <v>12</v>
      </c>
      <c r="C26" s="14" t="e">
        <f>données!C41</f>
        <v>#DIV/0!</v>
      </c>
      <c r="D26" s="23">
        <f t="shared" si="15"/>
        <v>0</v>
      </c>
      <c r="E26" s="14" t="e">
        <f t="shared" si="9"/>
        <v>#DIV/0!</v>
      </c>
      <c r="F26" s="14" t="e">
        <f>données!J41</f>
        <v>#DIV/0!</v>
      </c>
      <c r="G26" s="14" t="e">
        <f t="shared" si="3"/>
        <v>#DIV/0!</v>
      </c>
      <c r="H26" s="7" t="e">
        <f t="shared" si="4"/>
        <v>#DIV/0!</v>
      </c>
      <c r="I26" s="28">
        <f>données!M41</f>
        <v>0</v>
      </c>
      <c r="J26" s="6" t="e">
        <f>D26*0^3*((données!C$3+SIN(données!C$3)*COS(données!C$3))/2-SIN(données!C$3)^2/données!C$3)+E26*H26^2</f>
        <v>#DIV/0!</v>
      </c>
      <c r="K26" s="8"/>
      <c r="M26" s="13">
        <v>11</v>
      </c>
      <c r="N26" s="3">
        <f t="shared" si="5"/>
        <v>0</v>
      </c>
      <c r="O26" s="3" t="e">
        <f t="shared" si="7"/>
        <v>#DIV/0!</v>
      </c>
      <c r="Q26" s="5">
        <v>6653.0132462047468</v>
      </c>
    </row>
    <row r="27" spans="1:17" x14ac:dyDescent="0.25">
      <c r="A27" s="5"/>
      <c r="B27" s="13">
        <v>13</v>
      </c>
      <c r="C27" s="14" t="e">
        <f>données!C42</f>
        <v>#DIV/0!</v>
      </c>
      <c r="D27" s="23">
        <f t="shared" si="15"/>
        <v>0</v>
      </c>
      <c r="E27" s="14" t="e">
        <f t="shared" si="9"/>
        <v>#DIV/0!</v>
      </c>
      <c r="F27" s="14">
        <f>données!J42</f>
        <v>0</v>
      </c>
      <c r="G27" s="14" t="e">
        <f t="shared" si="3"/>
        <v>#DIV/0!</v>
      </c>
      <c r="H27" s="7" t="e">
        <f t="shared" si="4"/>
        <v>#DIV/0!</v>
      </c>
      <c r="I27" s="28">
        <f>données!M42</f>
        <v>0</v>
      </c>
      <c r="J27" s="7" t="e">
        <f t="shared" ref="J27:J31" si="16">E27*I27^2/12+E27*H27^2</f>
        <v>#DIV/0!</v>
      </c>
      <c r="K27" s="8"/>
      <c r="M27" s="13">
        <v>12</v>
      </c>
      <c r="N27" s="3">
        <f t="shared" si="5"/>
        <v>0</v>
      </c>
      <c r="O27" s="3" t="e">
        <f t="shared" si="7"/>
        <v>#DIV/0!</v>
      </c>
      <c r="Q27" s="5">
        <v>2489.4181828516225</v>
      </c>
    </row>
    <row r="28" spans="1:17" x14ac:dyDescent="0.25">
      <c r="A28" s="5"/>
      <c r="B28" s="13">
        <v>14</v>
      </c>
      <c r="C28" s="14" t="e">
        <f>données!C43</f>
        <v>#DIV/0!</v>
      </c>
      <c r="D28" s="23">
        <f t="shared" si="15"/>
        <v>0</v>
      </c>
      <c r="E28" s="14" t="e">
        <f t="shared" si="9"/>
        <v>#DIV/0!</v>
      </c>
      <c r="F28" s="14" t="e">
        <f>données!J43</f>
        <v>#DIV/0!</v>
      </c>
      <c r="G28" s="14" t="e">
        <f t="shared" si="3"/>
        <v>#DIV/0!</v>
      </c>
      <c r="H28" s="7" t="e">
        <f t="shared" si="4"/>
        <v>#DIV/0!</v>
      </c>
      <c r="I28" s="28">
        <f>données!M43</f>
        <v>0</v>
      </c>
      <c r="J28" s="6" t="e">
        <f>D28*0^3*((données!C$3+SIN(données!C$3)*COS(données!C$3))/2-SIN(données!C$3)^2/données!C$3)+E28*H28^2</f>
        <v>#DIV/0!</v>
      </c>
      <c r="K28" s="8"/>
      <c r="M28" s="13"/>
      <c r="N28" s="3"/>
      <c r="O28" s="3"/>
      <c r="Q28" s="5">
        <v>8624.8621577395097</v>
      </c>
    </row>
    <row r="29" spans="1:17" x14ac:dyDescent="0.25">
      <c r="B29" s="13">
        <v>15</v>
      </c>
      <c r="C29" s="14" t="e">
        <f>données!C44</f>
        <v>#DIV/0!</v>
      </c>
      <c r="D29" s="23">
        <f t="shared" si="15"/>
        <v>0</v>
      </c>
      <c r="E29" s="14" t="e">
        <f t="shared" si="9"/>
        <v>#DIV/0!</v>
      </c>
      <c r="F29" s="14">
        <f>données!J44</f>
        <v>0</v>
      </c>
      <c r="G29" s="14" t="e">
        <f t="shared" si="3"/>
        <v>#DIV/0!</v>
      </c>
      <c r="H29" s="7" t="e">
        <f t="shared" si="4"/>
        <v>#DIV/0!</v>
      </c>
      <c r="I29" s="28" t="e">
        <f>données!M44</f>
        <v>#DIV/0!</v>
      </c>
      <c r="J29" s="7" t="e">
        <f t="shared" si="16"/>
        <v>#DIV/0!</v>
      </c>
      <c r="K29" s="8"/>
      <c r="M29" s="13"/>
      <c r="N29" s="3"/>
      <c r="O29" s="3"/>
      <c r="Q29" s="5">
        <v>5975.1153913010348</v>
      </c>
    </row>
    <row r="30" spans="1:17" x14ac:dyDescent="0.25">
      <c r="B30" s="13">
        <v>16</v>
      </c>
      <c r="C30" s="14" t="e">
        <f>données!C45</f>
        <v>#DIV/0!</v>
      </c>
      <c r="D30" s="23">
        <f t="shared" si="15"/>
        <v>0</v>
      </c>
      <c r="E30" s="14" t="e">
        <f t="shared" si="9"/>
        <v>#DIV/0!</v>
      </c>
      <c r="F30" s="14" t="e">
        <f>données!J45</f>
        <v>#DIV/0!</v>
      </c>
      <c r="G30" s="14" t="e">
        <f t="shared" si="3"/>
        <v>#DIV/0!</v>
      </c>
      <c r="H30" s="7" t="e">
        <f t="shared" si="4"/>
        <v>#DIV/0!</v>
      </c>
      <c r="I30" s="28">
        <f>données!M45</f>
        <v>0</v>
      </c>
      <c r="J30" s="6" t="e">
        <f>D30*0^3*((données!C$3+SIN(données!C$3)*COS(données!C$3))/2-SIN(données!C$3)^2/données!C$3)+E30*H30^2</f>
        <v>#DIV/0!</v>
      </c>
      <c r="K30" s="8"/>
      <c r="M30" s="13"/>
      <c r="N30" s="3"/>
      <c r="O30" s="3"/>
      <c r="Q30" s="5">
        <v>29948.196285118844</v>
      </c>
    </row>
    <row r="31" spans="1:17" x14ac:dyDescent="0.25">
      <c r="B31" s="13">
        <v>17</v>
      </c>
      <c r="C31" s="14" t="e">
        <f>données!C46</f>
        <v>#DIV/0!</v>
      </c>
      <c r="D31" s="23">
        <f t="shared" si="15"/>
        <v>0</v>
      </c>
      <c r="E31" s="14" t="e">
        <f t="shared" si="9"/>
        <v>#DIV/0!</v>
      </c>
      <c r="F31" s="14">
        <f>données!J46</f>
        <v>0</v>
      </c>
      <c r="G31" s="14" t="e">
        <f t="shared" si="3"/>
        <v>#DIV/0!</v>
      </c>
      <c r="H31" s="7" t="e">
        <f t="shared" si="4"/>
        <v>#DIV/0!</v>
      </c>
      <c r="I31" s="28">
        <f>données!M46</f>
        <v>0</v>
      </c>
      <c r="J31" s="7" t="e">
        <f t="shared" si="16"/>
        <v>#DIV/0!</v>
      </c>
      <c r="K31" s="8"/>
      <c r="M31" s="13"/>
      <c r="N31" s="3"/>
      <c r="O31" s="3"/>
    </row>
    <row r="32" spans="1:17" x14ac:dyDescent="0.25">
      <c r="B32" s="13" t="s">
        <v>6</v>
      </c>
      <c r="C32" s="8"/>
      <c r="D32" s="8"/>
      <c r="E32" s="24" t="e">
        <f>SUM(E11:E31)</f>
        <v>#DIV/0!</v>
      </c>
      <c r="F32" s="8"/>
      <c r="G32" s="24" t="e">
        <f>SUM(G11:G31)</f>
        <v>#DIV/0!</v>
      </c>
      <c r="H32" s="120" t="e">
        <f>G32/E32</f>
        <v>#DIV/0!</v>
      </c>
      <c r="I32" s="8"/>
      <c r="J32" s="12" t="e">
        <f>SUM(J11:J31)</f>
        <v>#DIV/0!</v>
      </c>
      <c r="K32" s="8" t="s">
        <v>93</v>
      </c>
      <c r="M32" s="13" t="s">
        <v>6</v>
      </c>
      <c r="N32" s="1"/>
      <c r="O32" s="3" t="e">
        <f t="shared" si="7"/>
        <v>#DIV/0!</v>
      </c>
    </row>
    <row r="33" spans="2:15" x14ac:dyDescent="0.25">
      <c r="B33" s="8"/>
      <c r="C33" s="8"/>
      <c r="D33" s="8"/>
      <c r="E33" s="8"/>
      <c r="F33" s="8"/>
      <c r="G33" s="8"/>
      <c r="H33" s="9" t="e">
        <f>données!L3-H32</f>
        <v>#DIV/0!</v>
      </c>
      <c r="I33" s="8"/>
      <c r="J33" s="8" t="e">
        <f>J32*2</f>
        <v>#DIV/0!</v>
      </c>
      <c r="K33" s="8" t="s">
        <v>95</v>
      </c>
      <c r="O33" s="30" t="e">
        <f t="shared" si="7"/>
        <v>#DIV/0!</v>
      </c>
    </row>
    <row r="34" spans="2:15" x14ac:dyDescent="0.25">
      <c r="B34" s="8" t="s">
        <v>55</v>
      </c>
      <c r="C34" s="8" t="e">
        <f>J32/MAX(H32,H33)</f>
        <v>#DIV/0!</v>
      </c>
      <c r="D34" s="8" t="s">
        <v>93</v>
      </c>
      <c r="E34" s="8"/>
      <c r="F34" s="8"/>
      <c r="G34" s="8"/>
      <c r="H34" s="8"/>
      <c r="I34" s="8"/>
      <c r="J34" s="8" t="e">
        <f>J33/données!K3</f>
        <v>#DIV/0!</v>
      </c>
      <c r="K34" s="8" t="s">
        <v>130</v>
      </c>
    </row>
    <row r="35" spans="2:15" x14ac:dyDescent="0.25">
      <c r="B35" s="8" t="s">
        <v>55</v>
      </c>
      <c r="C35" s="8" t="e">
        <f>2*C34</f>
        <v>#DIV/0!</v>
      </c>
      <c r="D35" s="8" t="s">
        <v>95</v>
      </c>
      <c r="E35" s="8"/>
      <c r="F35" s="8"/>
      <c r="G35" s="8"/>
      <c r="H35" s="8"/>
      <c r="I35" s="8"/>
      <c r="J35" s="8"/>
      <c r="K35" s="8"/>
    </row>
    <row r="36" spans="2:15" x14ac:dyDescent="0.25">
      <c r="B36" s="8" t="s">
        <v>55</v>
      </c>
      <c r="C36" s="8" t="e">
        <f>C35/données!K3</f>
        <v>#DIV/0!</v>
      </c>
      <c r="D36" s="8" t="s">
        <v>96</v>
      </c>
      <c r="E36" s="8"/>
      <c r="F36" s="8"/>
      <c r="G36" s="8"/>
      <c r="H36" s="8"/>
      <c r="I36" s="8"/>
      <c r="J36" s="8"/>
      <c r="K36" s="8"/>
    </row>
    <row r="37" spans="2:15" x14ac:dyDescent="0.25"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2:15" x14ac:dyDescent="0.25">
      <c r="B38" s="8" t="s">
        <v>13</v>
      </c>
      <c r="C38" s="8" t="s">
        <v>13</v>
      </c>
      <c r="D38" s="8"/>
      <c r="E38" s="8"/>
      <c r="F38" s="8"/>
      <c r="G38" s="8"/>
      <c r="H38" s="8"/>
      <c r="I38" s="8"/>
      <c r="J38" s="8"/>
      <c r="K38" s="8"/>
    </row>
    <row r="39" spans="2:15" x14ac:dyDescent="0.25">
      <c r="B39" s="88" t="e">
        <f>D3*C36*1</f>
        <v>#DIV/0!</v>
      </c>
      <c r="C39" s="88" t="s">
        <v>97</v>
      </c>
      <c r="D39" s="89"/>
      <c r="E39" s="89" t="e">
        <f>B39*0.965</f>
        <v>#DIV/0!</v>
      </c>
      <c r="F39" s="91">
        <v>7843.1501932231167</v>
      </c>
      <c r="G39" s="8"/>
      <c r="H39" s="8"/>
      <c r="I39" s="8"/>
      <c r="J39" s="8"/>
      <c r="K39" s="8"/>
    </row>
    <row r="40" spans="2:15" x14ac:dyDescent="0.25">
      <c r="B40" s="55" t="e">
        <f>B39/1000</f>
        <v>#DIV/0!</v>
      </c>
      <c r="C40" t="s">
        <v>98</v>
      </c>
      <c r="D40" t="e">
        <f>(21.73-B40)/21.73</f>
        <v>#DIV/0!</v>
      </c>
    </row>
    <row r="41" spans="2:15" x14ac:dyDescent="0.25">
      <c r="B41" s="29"/>
    </row>
    <row r="42" spans="2:15" x14ac:dyDescent="0.25">
      <c r="B42" s="29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windowProtection="1" workbookViewId="0">
      <selection activeCell="M5" sqref="M5"/>
    </sheetView>
  </sheetViews>
  <sheetFormatPr baseColWidth="10" defaultRowHeight="15" x14ac:dyDescent="0.25"/>
  <cols>
    <col min="2" max="2" width="5.42578125" bestFit="1" customWidth="1"/>
    <col min="3" max="3" width="4.42578125" bestFit="1" customWidth="1"/>
    <col min="4" max="4" width="11.28515625" bestFit="1" customWidth="1"/>
    <col min="5" max="5" width="10.28515625" bestFit="1" customWidth="1"/>
    <col min="6" max="6" width="4.42578125" bestFit="1" customWidth="1"/>
    <col min="7" max="7" width="6.85546875" customWidth="1"/>
    <col min="8" max="8" width="4.42578125" customWidth="1"/>
    <col min="9" max="9" width="5.42578125" bestFit="1" customWidth="1"/>
    <col min="10" max="10" width="7.140625" customWidth="1"/>
    <col min="11" max="11" width="5.42578125" customWidth="1"/>
    <col min="12" max="12" width="7.7109375" customWidth="1"/>
    <col min="13" max="13" width="5.42578125" bestFit="1" customWidth="1"/>
    <col min="14" max="14" width="7.85546875" bestFit="1" customWidth="1"/>
    <col min="15" max="15" width="8.42578125" bestFit="1" customWidth="1"/>
  </cols>
  <sheetData>
    <row r="2" spans="2:15" x14ac:dyDescent="0.25">
      <c r="B2" s="8" t="s">
        <v>17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6.5" x14ac:dyDescent="0.3">
      <c r="B4" s="2" t="s">
        <v>21</v>
      </c>
      <c r="C4" s="2" t="s">
        <v>0</v>
      </c>
      <c r="D4" s="2" t="s">
        <v>20</v>
      </c>
      <c r="E4" s="2" t="s">
        <v>2</v>
      </c>
      <c r="F4" s="2" t="s">
        <v>1</v>
      </c>
      <c r="G4" s="42" t="s">
        <v>80</v>
      </c>
      <c r="H4" s="39" t="s">
        <v>76</v>
      </c>
      <c r="I4" s="2" t="s">
        <v>22</v>
      </c>
      <c r="J4" s="40" t="s">
        <v>78</v>
      </c>
      <c r="K4" s="41" t="s">
        <v>79</v>
      </c>
      <c r="L4" s="2" t="s">
        <v>77</v>
      </c>
      <c r="M4" s="2" t="s">
        <v>3</v>
      </c>
      <c r="N4" s="10" t="s">
        <v>23</v>
      </c>
      <c r="O4" s="10" t="s">
        <v>4</v>
      </c>
    </row>
    <row r="5" spans="2:15" x14ac:dyDescent="0.25">
      <c r="B5" s="7" t="e">
        <f>largeur_eff_semelle!B5</f>
        <v>#DIV/0!</v>
      </c>
      <c r="C5" s="7">
        <f>données!E3</f>
        <v>0</v>
      </c>
      <c r="D5" s="37">
        <f>données!G3</f>
        <v>0</v>
      </c>
      <c r="E5" s="7">
        <f>données!H3</f>
        <v>0</v>
      </c>
      <c r="F5" s="7">
        <v>4</v>
      </c>
      <c r="G5" s="7">
        <v>1</v>
      </c>
      <c r="H5" s="7" t="e">
        <f>(235/D5)^0.5</f>
        <v>#DIV/0!</v>
      </c>
      <c r="I5" s="11" t="e">
        <f>B5/C5/28.4/H5/(F5)^0.5</f>
        <v>#DIV/0!</v>
      </c>
      <c r="J5" s="11" t="e">
        <f>MIN(D5,D5*(données!L3-résistance_section!H32)/résistance_section!H32)</f>
        <v>#DIV/0!</v>
      </c>
      <c r="K5" s="11">
        <v>1</v>
      </c>
      <c r="L5" s="11" t="e">
        <f>I5*SQRT(J5/D5/K5)</f>
        <v>#DIV/0!</v>
      </c>
      <c r="M5" s="11" t="e">
        <f>IF(L5&gt;0.673,(L5-0.055*(3+G5))/L5^2+0.18*(I5-L5)/(I5-0.6),1)</f>
        <v>#DIV/0!</v>
      </c>
      <c r="N5" s="7" t="e">
        <f>M5*B5</f>
        <v>#DIV/0!</v>
      </c>
      <c r="O5" s="65" t="e">
        <f>MAX(N5/2,données!C21)</f>
        <v>#DIV/0!</v>
      </c>
    </row>
    <row r="6" spans="2:15" x14ac:dyDescent="0.25">
      <c r="B6" s="8"/>
      <c r="C6" s="8"/>
      <c r="D6" s="3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5" x14ac:dyDescent="0.25">
      <c r="B7" s="8"/>
      <c r="C7" s="8"/>
      <c r="D7" s="3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2:15" x14ac:dyDescent="0.25">
      <c r="B8" s="8"/>
      <c r="C8" s="8"/>
      <c r="D8" s="3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2:15" x14ac:dyDescent="0.25">
      <c r="B9" s="2"/>
      <c r="C9" s="2"/>
      <c r="D9" s="10"/>
      <c r="E9" s="2"/>
      <c r="F9" s="2"/>
      <c r="G9" s="42"/>
      <c r="H9" s="39"/>
      <c r="I9" s="2"/>
      <c r="J9" s="40"/>
      <c r="K9" s="41"/>
      <c r="L9" s="2"/>
      <c r="M9" s="2"/>
      <c r="N9" s="10"/>
      <c r="O9" s="10"/>
    </row>
    <row r="10" spans="2:15" x14ac:dyDescent="0.25">
      <c r="B10" s="12"/>
      <c r="C10" s="7"/>
      <c r="D10" s="37"/>
      <c r="E10" s="7"/>
      <c r="F10" s="7"/>
      <c r="G10" s="7"/>
      <c r="H10" s="7"/>
      <c r="I10" s="11"/>
      <c r="J10" s="11"/>
      <c r="K10" s="11"/>
      <c r="L10" s="11"/>
      <c r="M10" s="11"/>
      <c r="N10" s="7"/>
      <c r="O10" s="65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26</vt:i4>
      </vt:variant>
      <vt:variant>
        <vt:lpstr>Plages nommées</vt:lpstr>
      </vt:variant>
      <vt:variant>
        <vt:i4>1</vt:i4>
      </vt:variant>
    </vt:vector>
  </HeadingPairs>
  <TitlesOfParts>
    <vt:vector size="27" baseType="lpstr">
      <vt:lpstr>Feuil1</vt:lpstr>
      <vt:lpstr>données</vt:lpstr>
      <vt:lpstr>largeur_eff_semelle</vt:lpstr>
      <vt:lpstr>raidisseur</vt:lpstr>
      <vt:lpstr>largeur_eff_semelle bis</vt:lpstr>
      <vt:lpstr>largeur_eff_ame</vt:lpstr>
      <vt:lpstr>raidisseur (bis)</vt:lpstr>
      <vt:lpstr>résistance_section</vt:lpstr>
      <vt:lpstr>largeur_eff_semelle (2)</vt:lpstr>
      <vt:lpstr>raidisseur (2)</vt:lpstr>
      <vt:lpstr>largeur_eff_semelle bis (2)</vt:lpstr>
      <vt:lpstr>raidisseurbis (2)</vt:lpstr>
      <vt:lpstr>largeur_eff_ame (2)</vt:lpstr>
      <vt:lpstr>résistance_section (2)</vt:lpstr>
      <vt:lpstr>largeur_eff_semelle (3)</vt:lpstr>
      <vt:lpstr>raidisseur (3)</vt:lpstr>
      <vt:lpstr>largeur_eff_semelle bis (3)</vt:lpstr>
      <vt:lpstr>raidisseur bis (3)</vt:lpstr>
      <vt:lpstr>largeur_eff_ame (3)</vt:lpstr>
      <vt:lpstr>résistance_section (3)</vt:lpstr>
      <vt:lpstr>largeur_eff_semelle (4)</vt:lpstr>
      <vt:lpstr>raidisseur (4)</vt:lpstr>
      <vt:lpstr>largeur_eff_semelle bis (4)</vt:lpstr>
      <vt:lpstr>raidisseur bis (4)</vt:lpstr>
      <vt:lpstr>largeur_eff_ame (4)</vt:lpstr>
      <vt:lpstr>résistance_section (4)</vt:lpstr>
      <vt:lpstr>données!Zone_d_impression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spconsultants</dc:creator>
  <cp:lastModifiedBy>Valérie</cp:lastModifiedBy>
  <cp:lastPrinted>2015-07-06T16:10:57Z</cp:lastPrinted>
  <dcterms:created xsi:type="dcterms:W3CDTF">2009-08-10T11:42:28Z</dcterms:created>
  <dcterms:modified xsi:type="dcterms:W3CDTF">2016-11-30T09:58:51Z</dcterms:modified>
</cp:coreProperties>
</file>